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7fec9094c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ce6b7e5a5c914967"/>
    <x:sheet xmlns:r="http://schemas.openxmlformats.org/officeDocument/2006/relationships" name="Assumptions" sheetId="2" r:id="R14ee7cc1011c43fa"/>
    <x:sheet xmlns:r="http://schemas.openxmlformats.org/officeDocument/2006/relationships" name="BOM" sheetId="3" r:id="R38c56f63b5944a83"/>
    <x:sheet xmlns:r="http://schemas.openxmlformats.org/officeDocument/2006/relationships" name="Labor Routing" sheetId="4" r:id="R5b14feb203204df6"/>
    <x:sheet xmlns:r="http://schemas.openxmlformats.org/officeDocument/2006/relationships" name="Tooling CAPEX" sheetId="5" r:id="Rdf2292a376ce454c"/>
    <x:sheet xmlns:r="http://schemas.openxmlformats.org/officeDocument/2006/relationships" name="Unit Economics" sheetId="6" r:id="Rf0928f455e4d4b7f"/>
    <x:sheet xmlns:r="http://schemas.openxmlformats.org/officeDocument/2006/relationships" name="Operating OPEX" sheetId="7" r:id="R9391e75653154c37"/>
    <x:sheet xmlns:r="http://schemas.openxmlformats.org/officeDocument/2006/relationships" name="Annual Plan" sheetId="8" r:id="R075d5f0cbed74056"/>
    <x:sheet xmlns:r="http://schemas.openxmlformats.org/officeDocument/2006/relationships" name="Scenarios" sheetId="9" r:id="Rc7ac96120fe841b5"/>
    <x:sheet xmlns:r="http://schemas.openxmlformats.org/officeDocument/2006/relationships" name="Break Even" sheetId="10" r:id="R88e0199837114b78"/>
    <x:sheet xmlns:r="http://schemas.openxmlformats.org/officeDocument/2006/relationships" name="Sources" sheetId="11" r:id="R16c8699902284f44"/>
    <x:sheet xmlns:r="http://schemas.openxmlformats.org/officeDocument/2006/relationships" name="Checks" sheetId="12" r:id="Rd116f268c1a14b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&quot;$&quot;#,##0;[Red](&quot;$&quot;#,##0);-"/>
    <x:numFmt numFmtId="202" formatCode="0.0%;[Red](0.0%);-"/>
    <x:numFmt numFmtId="203" formatCode="#,##0;[Red](#,##0);-"/>
    <x:numFmt numFmtId="204" formatCode="&quot;$&quot;#,##0.0;[Red](&quot;$&quot;#,##0.0);-"/>
    <x:numFmt numFmtId="205" formatCode="#,##0.0;[Red](#,##0.0);-"/>
  </x:numFmts>
  <x:fonts count="11">
    <x:font>
      <x:sz val="11"/>
      <x:name val="Carlito"/>
    </x:font>
    <x:font>
      <x:sz val="11"/>
      <x:name val="Arial"/>
    </x:font>
    <x:font>
      <x:sz val="10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b/>
      <x:sz val="16"/>
      <x:color rgb="FFFFFFFF"/>
      <x:name val="Arial"/>
    </x:font>
    <x:font>
      <x:b/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000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01B16"/>
      </x:patternFill>
    </x:fill>
    <x:fill>
      <x:patternFill patternType="solid">
        <x:fgColor rgb="FFE9DED2"/>
      </x:patternFill>
    </x:fill>
    <x:fill>
      <x:patternFill patternType="solid">
        <x:fgColor rgb="FF3B332C"/>
      </x:patternFill>
    </x:fill>
  </x:fills>
  <x:borders count="4">
    <x:border/>
    <x:border>
      <x:left style="thin">
        <x:color rgb="FF9B8E81"/>
      </x:left>
      <x:top style="thin">
        <x:color rgb="FF9B8E81"/>
      </x:top>
      <x:bottom style="thin">
        <x:color rgb="FF9B8E81"/>
      </x:bottom>
    </x:border>
    <x:border>
      <x:top style="thin">
        <x:color rgb="FF9B8E81"/>
      </x:top>
      <x:bottom style="thin">
        <x:color rgb="FF9B8E81"/>
      </x:bottom>
    </x:border>
    <x:border>
      <x:right style="thin">
        <x:color rgb="FF9B8E81"/>
      </x:right>
      <x:top style="thin">
        <x:color rgb="FF9B8E81"/>
      </x:top>
      <x:bottom style="thin">
        <x:color rgb="FF9B8E81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8" fillId="4" borderId="2" xfId="0" applyNumberFormat="1" applyFont="1" applyFill="1" applyBorder="1"/>
    <x:xf numFmtId="0" fontId="8" fillId="4" borderId="3" xfId="0" applyNumberFormat="1" applyFont="1" applyFill="1" applyBorder="1"/>
    <x:xf numFmtId="200" fontId="8" fillId="4" borderId="2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9" fillId="0" borderId="0" xfId="0" applyNumberFormat="1" applyFont="1" applyFill="1" applyBorder="1"/>
    <x:xf numFmtId="202" fontId="9" fillId="0" borderId="0" xfId="0" applyNumberFormat="1" applyFont="1" applyFill="1" applyBorder="1"/>
    <x:xf numFmtId="201" fontId="9" fillId="0" borderId="0" xfId="0" applyNumberFormat="1" applyFont="1" applyFill="1" applyBorder="1"/>
    <x:xf numFmtId="203" fontId="9" fillId="0" borderId="0" xfId="0" applyNumberFormat="1" applyFont="1" applyFill="1" applyBorder="1"/>
    <x:xf numFmtId="204" fontId="0" fillId="0" borderId="0" xfId="0" applyNumberFormat="1" applyFont="1" applyFill="1" applyBorder="1"/>
    <x:xf numFmtId="0" fontId="6" fillId="0" borderId="0" xfId="0" applyNumberFormat="1" applyFont="1" applyFill="1" applyBorder="1"/>
    <x:xf numFmtId="204" fontId="6" fillId="0" borderId="0" xfId="0" applyNumberFormat="1" applyFont="1" applyFill="1" applyBorder="1"/>
    <x:xf numFmtId="205" fontId="0" fillId="0" borderId="0" xfId="0" applyNumberFormat="1" applyFont="1" applyFill="1" applyBorder="1"/>
    <x:xf numFmtId="204" fontId="9" fillId="0" borderId="0" xfId="0" applyNumberFormat="1" applyFont="1" applyFill="1" applyBorder="1"/>
    <x:xf numFmtId="205" fontId="9" fillId="0" borderId="0" xfId="0" applyNumberFormat="1" applyFont="1" applyFill="1" applyBorder="1"/>
    <x:xf numFmtId="204" fontId="10" fillId="0" borderId="0" xfId="0" applyNumberFormat="1" applyFont="1" applyFill="1" applyBorder="1"/>
    <x:xf numFmtId="201" fontId="6" fillId="0" borderId="0" xfId="0" applyNumberFormat="1" applyFont="1" applyFill="1" applyBorder="1"/>
    <x:xf numFmtId="205" fontId="6" fillId="0" borderId="0" xfId="0" applyNumberFormat="1" applyFont="1" applyFill="1" applyBorder="1"/>
    <x:xf numFmtId="203" fontId="6" fillId="0" borderId="0" xfId="0" applyNumberFormat="1" applyFont="1" applyFill="1" applyBorder="1"/>
    <x:xf numFmtId="202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0a598e8c4413b" /><Relationship Type="http://schemas.openxmlformats.org/officeDocument/2006/relationships/theme" Target="/xl/theme/theme1.xml" Id="R6ae7976a3f824d62" /><Relationship Type="http://schemas.openxmlformats.org/officeDocument/2006/relationships/sharedStrings" Target="/xl/sharedStrings.xml" Id="R6e3e9e7c72e84333" /><Relationship Type="http://schemas.openxmlformats.org/officeDocument/2006/relationships/worksheet" Target="/xl/worksheets/sheet1.xml" Id="Rce6b7e5a5c914967" /><Relationship Type="http://schemas.openxmlformats.org/officeDocument/2006/relationships/worksheet" Target="/xl/worksheets/sheet2.xml" Id="R14ee7cc1011c43fa" /><Relationship Type="http://schemas.openxmlformats.org/officeDocument/2006/relationships/worksheet" Target="/xl/worksheets/sheet3.xml" Id="R38c56f63b5944a83" /><Relationship Type="http://schemas.openxmlformats.org/officeDocument/2006/relationships/worksheet" Target="/xl/worksheets/sheet4.xml" Id="R5b14feb203204df6" /><Relationship Type="http://schemas.openxmlformats.org/officeDocument/2006/relationships/worksheet" Target="/xl/worksheets/sheet5.xml" Id="Rdf2292a376ce454c" /><Relationship Type="http://schemas.openxmlformats.org/officeDocument/2006/relationships/worksheet" Target="/xl/worksheets/sheet6.xml" Id="Rf0928f455e4d4b7f" /><Relationship Type="http://schemas.openxmlformats.org/officeDocument/2006/relationships/worksheet" Target="/xl/worksheets/sheet7.xml" Id="R9391e75653154c37" /><Relationship Type="http://schemas.openxmlformats.org/officeDocument/2006/relationships/worksheet" Target="/xl/worksheets/sheet8.xml" Id="R075d5f0cbed74056" /><Relationship Type="http://schemas.openxmlformats.org/officeDocument/2006/relationships/worksheet" Target="/xl/worksheets/sheet9.xml" Id="Rc7ac96120fe841b5" /><Relationship Type="http://schemas.openxmlformats.org/officeDocument/2006/relationships/worksheet" Target="/xl/worksheets/sheet10.xml" Id="R88e0199837114b78" /><Relationship Type="http://schemas.openxmlformats.org/officeDocument/2006/relationships/worksheet" Target="/xl/worksheets/sheet11.xml" Id="R16c8699902284f44" /><Relationship Type="http://schemas.openxmlformats.org/officeDocument/2006/relationships/worksheet" Target="/xl/worksheets/sheet12.xml" Id="Rd116f268c1a14b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19.200000762939453" hidden="0" customHeight="1">
      <x:c r="A1" s="6" t="str">
        <x:v>Atelier Real - Investor Cost Model</x:v>
      </x:c>
      <x:c r="B1" s="6" t="str">
        <x:v>Atelier Real - Investor Cost Model</x:v>
      </x:c>
      <x:c r="C1" s="6" t="str">
        <x:v>Atelier Real - Investor Cost Model</x:v>
      </x:c>
      <x:c r="D1" s="6" t="str">
        <x:v>Atelier Real - Investor Cost Model</x:v>
      </x:c>
      <x:c r="E1" s="6" t="str">
        <x:v>Atelier Real - Investor Cost Model</x:v>
      </x:c>
      <x:c r="F1" s="6" t="str">
        <x:v>Atelier Real - Investor Cost Model</x:v>
      </x:c>
      <x:c r="G1" s="6" t="str">
        <x:v>Atelier Real - Investor Cost Model</x:v>
      </x:c>
      <x:c r="H1" s="6" t="str">
        <x:v>Atelier Real - Investor Cost Model</x:v>
      </x:c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/>
    <x:row r="3" ht="15" hidden="0" customHeight="1">
      <x:c r="A3" s="7" t="str">
        <x:v>Purpose: estimate prototype CAPEX, unit cost, pricing, gross margin, and break-even for ultra-realistic retail mannequins. Blue cells are editable assumptions; black cells are formulas.</x:v>
      </x:c>
    </x:row>
    <x:row r="4"/>
    <x:row r="5" ht="15" hidden="0" customHeight="1">
      <x:c r="A5" s="9" t="str">
        <x:v>Key Outputs</x:v>
      </x:c>
      <x:c r="B5" s="9" t="str">
        <x:v>Key Outputs</x:v>
      </x:c>
      <x:c r="C5" s="9" t="str">
        <x:v>Key Outputs</x:v>
      </x:c>
      <x:c r="D5" s="9" t="str">
        <x:v>Key Outputs</x:v>
      </x:c>
      <x:c r="E5" s="9" t="str">
        <x:v>Key Outputs</x:v>
      </x:c>
      <x:c r="F5" s="9" t="str">
        <x:v>Key Outputs</x:v>
      </x:c>
      <x:c r="G5" s="9" t="str">
        <x:v>Key Outputs</x:v>
      </x:c>
      <x:c r="H5" s="9" t="str">
        <x:v>Key Outputs</x:v>
      </x:c>
    </x:row>
    <x:row r="6" ht="15" hidden="0" customHeight="1">
      <x:c r="A6" s="13" t="str">
        <x:v>Metric</x:v>
      </x:c>
      <x:c r="B6" s="14" t="str">
        <x:v>Standard Real</x:v>
      </x:c>
      <x:c r="C6" s="14" t="str">
        <x:v>Premium Real</x:v>
      </x:c>
      <x:c r="D6" s="14" t="str">
        <x:v>Hyper Real</x:v>
      </x:c>
      <x:c r="E6" s="14" t="str"/>
      <x:c r="F6" s="14" t="str">
        <x:v>Model Date</x:v>
      </x:c>
      <x:c r="G6" s="16" t="n">
        <x:v>46263.770420243054</x:v>
      </x:c>
      <x:c r="H6" s="15" t="str"/>
    </x:row>
    <x:row r="7" ht="15" hidden="0" customHeight="1">
      <x:c r="A7" t="str">
        <x:v>Total unit cost</x:v>
      </x:c>
      <x:c r="B7" s="17" t="n">
        <x:f>'Unit Economics'!B17</x:f>
        <x:v>3197.115007866666</x:v>
      </x:c>
      <x:c r="C7" s="17" t="n">
        <x:f>'Unit Economics'!C17</x:f>
        <x:v>4925.857339931466</x:v>
      </x:c>
      <x:c r="D7" s="17" t="n">
        <x:f>'Unit Economics'!D17</x:f>
        <x:v>8203.379836170667</x:v>
      </x:c>
      <x:c r="E7" t="str"/>
      <x:c r="F7" t="str">
        <x:v>Currency</x:v>
      </x:c>
      <x:c r="G7" t="str">
        <x:v>USD</x:v>
      </x:c>
      <x:c r="H7" t="str"/>
    </x:row>
    <x:row r="8" ht="15" hidden="0" customHeight="1">
      <x:c r="A8" t="str">
        <x:v>Suggested selling price</x:v>
      </x:c>
      <x:c r="B8" s="17" t="n">
        <x:f>'Unit Economics'!B20</x:f>
        <x:v>7612.178590158728</x:v>
      </x:c>
      <x:c r="C8" s="17" t="n">
        <x:f>'Unit Economics'!C20</x:f>
        <x:v>11728.231761741585</x:v>
      </x:c>
      <x:c r="D8" s="17" t="n">
        <x:f>'Unit Economics'!D20</x:f>
        <x:v>19531.8567527873</x:v>
      </x:c>
      <x:c r="E8" t="str"/>
      <x:c r="F8" t="str">
        <x:v>Batch size</x:v>
      </x:c>
      <x:c r="G8" s="19" t="n">
        <x:f>'Assumptions'!B6</x:f>
        <x:v>25</x:v>
      </x:c>
      <x:c r="H8" t="str"/>
    </x:row>
    <x:row r="9" ht="15" hidden="0" customHeight="1">
      <x:c r="A9" t="str">
        <x:v>Gross margin</x:v>
      </x:c>
      <x:c r="B9" s="18" t="n">
        <x:f>'Unit Economics'!B21</x:f>
        <x:v>0.58</x:v>
      </x:c>
      <x:c r="C9" s="18" t="n">
        <x:f>'Unit Economics'!C21</x:f>
        <x:v>0.58</x:v>
      </x:c>
      <x:c r="D9" s="18" t="n">
        <x:f>'Unit Economics'!D21</x:f>
        <x:v>0.58</x:v>
      </x:c>
      <x:c r="E9" t="str"/>
      <x:c r="F9" t="str">
        <x:v>Tooling amortization units</x:v>
      </x:c>
      <x:c r="G9" s="19" t="n">
        <x:f>'Assumptions'!B7</x:f>
        <x:v>150</x:v>
      </x:c>
      <x:c r="H9" t="str"/>
    </x:row>
    <x:row r="10" ht="15" hidden="0" customHeight="1">
      <x:c r="A10" t="str">
        <x:v>Cash unit cost</x:v>
      </x:c>
      <x:c r="B10" s="17" t="n">
        <x:f>'Unit Economics'!B15</x:f>
        <x:v>2770.4483411999995</x:v>
      </x:c>
      <x:c r="C10" s="17" t="n">
        <x:f>'Unit Economics'!C15</x:f>
        <x:v>4499.190673264799</x:v>
      </x:c>
      <x:c r="D10" s="17" t="n">
        <x:f>'Unit Economics'!D15</x:f>
        <x:v>7776.713169504</x:v>
      </x:c>
      <x:c r="E10" t="str"/>
      <x:c r="F10" t="str">
        <x:v>Model status</x:v>
      </x:c>
      <x:c r="G10" t="str">
        <x:f>'Checks'!F2</x:f>
        <x:v>OK</x:v>
      </x:c>
      <x:c r="H10" t="str"/>
    </x:row>
    <x:row r="11" ht="15" hidden="0" customHeight="1">
      <x:c r="A11" t="str">
        <x:v>Channel price ex-tax</x:v>
      </x:c>
      <x:c r="B11" s="17" t="n">
        <x:f>'Unit Economics'!B23</x:f>
        <x:v>10149.571453544972</x:v>
      </x:c>
      <x:c r="C11" s="17" t="n">
        <x:f>'Unit Economics'!C23</x:f>
        <x:v>15637.64234898878</x:v>
      </x:c>
      <x:c r="D11" s="17" t="n">
        <x:f>'Unit Economics'!D23</x:f>
        <x:v>26042.475670383064</x:v>
      </x:c>
      <x:c r="E11" t="str"/>
      <x:c r="F11" t="str">
        <x:v>Funding envelope</x:v>
      </x:c>
      <x:c r="G11" s="17" t="n">
        <x:f>'Tooling CAPEX'!B21</x:f>
        <x:v>344503.366006327</x:v>
      </x:c>
      <x:c r="H11" t="str"/>
    </x:row>
    <x:row r="12" ht="15" hidden="0" customHeight="1">
      <x:c r="A12" t="str">
        <x:v>Main risk</x:v>
      </x:c>
      <x:c r="B12" t="str">
        <x:v>Labor + finish quality</x:v>
      </x:c>
      <x:c r="C12" t="str">
        <x:v>Labor + QC hours</x:v>
      </x:c>
      <x:c r="D12" t="str">
        <x:v>Silicone + skilled labor</x:v>
      </x:c>
      <x:c r="E12" t="str"/>
      <x:c r="F12" t="str"/>
      <x:c r="G12" t="str">
        <x:v>Directional model; RFQs required</x:v>
      </x:c>
      <x:c r="H12" t="str"/>
    </x:row>
  </x:sheetData>
  <x:mergeCells>
    <x:mergeCell ref="A1:H1"/>
    <x:mergeCell ref="A3:H3"/>
    <x:mergeCell ref="A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.559999465942383" hidden="0" customWidth="1"/>
    <x:col min="2" max="2" width="29.559999465942383" hidden="0" customWidth="1"/>
    <x:col min="3" max="3" width="29.559999465942383" hidden="0" customWidth="1"/>
    <x:col min="4" max="4" width="45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40" hidden="0" customWidth="1"/>
  </x:cols>
  <x:sheetData>
    <x:row r="1" ht="19.200000762939453" hidden="0" customHeight="1">
      <x:c r="A1" s="6" t="str">
        <x:v>Model Assumptions</x:v>
      </x:c>
      <x:c r="B1" s="6" t="str">
        <x:v>Model Assumptions</x:v>
      </x:c>
      <x:c r="C1" s="6" t="str">
        <x:v>Model Assumptions</x:v>
      </x:c>
      <x:c r="D1" s="6" t="str">
        <x:v>Model Assumptions</x:v>
      </x:c>
      <x:c r="E1" s="6" t="str">
        <x:v>Model Assumptions</x:v>
      </x:c>
      <x:c r="F1" s="6" t="str">
        <x:v>Model Assumptions</x:v>
      </x:c>
      <x:c r="G1" s="6" t="str">
        <x:v>Model Assumptions</x:v>
      </x:c>
      <x:c r="H1" s="6" t="str">
        <x:v>Model Assumptions</x:v>
      </x:c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/>
    <x:row r="3" ht="15" hidden="0" customHeight="1">
      <x:c r="A3" s="9" t="str">
        <x:v>Production and Finance Assumptions</x:v>
      </x:c>
      <x:c r="B3" s="9" t="str">
        <x:v>Production and Finance Assumptions</x:v>
      </x:c>
      <x:c r="C3" s="9" t="str">
        <x:v>Production and Finance Assumptions</x:v>
      </x:c>
      <x:c r="D3" s="9" t="str">
        <x:v>Production and Finance Assumptions</x:v>
      </x:c>
      <x:c r="F3" s="9" t="str">
        <x:v>Labor Rates</x:v>
      </x:c>
      <x:c r="G3" s="9" t="str">
        <x:v>Labor Rates</x:v>
      </x:c>
      <x:c r="H3" s="9" t="str">
        <x:v>Labor Rates</x:v>
      </x:c>
      <x:c r="I3" s="9" t="str">
        <x:v>Labor Rates</x:v>
      </x:c>
    </x:row>
    <x:row r="4" ht="15" hidden="0" customHeight="1">
      <x:c r="A4" s="13" t="str">
        <x:v>Input</x:v>
      </x:c>
      <x:c r="B4" s="14" t="str">
        <x:v>Value</x:v>
      </x:c>
      <x:c r="C4" s="14" t="str">
        <x:v>Unit</x:v>
      </x:c>
      <x:c r="D4" s="15" t="str">
        <x:v>Notes</x:v>
      </x:c>
      <x:c r="F4" s="13" t="str">
        <x:v>Role</x:v>
      </x:c>
      <x:c r="G4" s="14" t="str">
        <x:v>Rate / hour</x:v>
      </x:c>
      <x:c r="H4" s="14" t="str">
        <x:v>Unit</x:v>
      </x:c>
      <x:c r="I4" s="15" t="str">
        <x:v>Notes</x:v>
      </x:c>
    </x:row>
    <x:row r="5" ht="15" hidden="0" customHeight="1">
      <x:c r="A5" t="str">
        <x:v>Annual production volume</x:v>
      </x:c>
      <x:c r="B5" s="23" t="n">
        <x:v>120</x:v>
      </x:c>
      <x:c r="C5" t="str">
        <x:v>units</x:v>
      </x:c>
      <x:c r="D5" t="str">
        <x:v>Base-case annual volume across all versions</x:v>
      </x:c>
      <x:c r="F5" t="str">
        <x:v>Digital sculpt / CAD</x:v>
      </x:c>
      <x:c r="G5" s="22" t="n">
        <x:v>45</x:v>
      </x:c>
      <x:c r="H5" t="str">
        <x:v>$/hr</x:v>
      </x:c>
      <x:c r="I5" t="str">
        <x:v>Specialized 3D/CAD contractor</x:v>
      </x:c>
    </x:row>
    <x:row r="6" ht="15" hidden="0" customHeight="1">
      <x:c r="A6" t="str">
        <x:v>First batch size</x:v>
      </x:c>
      <x:c r="B6" s="23" t="n">
        <x:v>25</x:v>
      </x:c>
      <x:c r="C6" t="str">
        <x:v>units</x:v>
      </x:c>
      <x:c r="D6" t="str">
        <x:v>Used for purchasing and launch planning</x:v>
      </x:c>
      <x:c r="F6" t="str">
        <x:v>Mold maker</x:v>
      </x:c>
      <x:c r="G6" s="22" t="n">
        <x:v>38</x:v>
      </x:c>
      <x:c r="H6" t="str">
        <x:v>$/hr</x:v>
      </x:c>
      <x:c r="I6" t="str">
        <x:v>Mold prep, parting lines, release</x:v>
      </x:c>
    </x:row>
    <x:row r="7" ht="15" hidden="0" customHeight="1">
      <x:c r="A7" t="str">
        <x:v>Tooling amortization units</x:v>
      </x:c>
      <x:c r="B7" s="23" t="n">
        <x:v>150</x:v>
      </x:c>
      <x:c r="C7" t="str">
        <x:v>units</x:v>
      </x:c>
      <x:c r="D7" t="str">
        <x:v>Units expected to absorb initial tooling/CAPEX</x:v>
      </x:c>
      <x:c r="F7" t="str">
        <x:v>Fiberglass layup tech</x:v>
      </x:c>
      <x:c r="G7" s="22" t="n">
        <x:v>32</x:v>
      </x:c>
      <x:c r="H7" t="str">
        <x:v>$/hr</x:v>
      </x:c>
      <x:c r="I7" t="str">
        <x:v>Shell layup and trimming</x:v>
      </x:c>
    </x:row>
    <x:row r="8" ht="15" hidden="0" customHeight="1">
      <x:c r="A8" t="str">
        <x:v>Material waste factor</x:v>
      </x:c>
      <x:c r="B8" s="21" t="n">
        <x:v>0.08</x:v>
      </x:c>
      <x:c r="C8" t="str">
        <x:v>%</x:v>
      </x:c>
      <x:c r="D8" t="str">
        <x:v>Covers trim, failed casts, overspray, test pieces</x:v>
      </x:c>
      <x:c r="F8" t="str">
        <x:v>PU casting tech</x:v>
      </x:c>
      <x:c r="G8" s="22" t="n">
        <x:v>30</x:v>
      </x:c>
      <x:c r="H8" t="str">
        <x:v>$/hr</x:v>
      </x:c>
      <x:c r="I8" t="str">
        <x:v>Hands, face, small castings</x:v>
      </x:c>
    </x:row>
    <x:row r="9" ht="15" hidden="0" customHeight="1">
      <x:c r="A9" t="str">
        <x:v>Factory overhead rate</x:v>
      </x:c>
      <x:c r="B9" s="21" t="n">
        <x:v>0.22</x:v>
      </x:c>
      <x:c r="C9" t="str">
        <x:v>% of direct cost</x:v>
      </x:c>
      <x:c r="D9" t="str">
        <x:v>Rent, utilities, supervision, consumables not in BOM</x:v>
      </x:c>
      <x:c r="F9" t="str">
        <x:v>Skin painter / airbrush</x:v>
      </x:c>
      <x:c r="G9" s="22" t="n">
        <x:v>42</x:v>
      </x:c>
      <x:c r="H9" t="str">
        <x:v>$/hr</x:v>
      </x:c>
      <x:c r="I9" t="str">
        <x:v>Realistic face/skin finish</x:v>
      </x:c>
    </x:row>
    <x:row r="10" ht="15" hidden="0" customHeight="1">
      <x:c r="A10" t="str">
        <x:v>Warranty/rework reserve</x:v>
      </x:c>
      <x:c r="B10" s="21" t="n">
        <x:v>0.04</x:v>
      </x:c>
      <x:c r="C10" t="str">
        <x:v>% of pre-warranty cost</x:v>
      </x:c>
      <x:c r="D10" t="str">
        <x:v>Touch-ups, returns, connector fixes</x:v>
      </x:c>
      <x:c r="F10" t="str">
        <x:v>Assembly tech</x:v>
      </x:c>
      <x:c r="G10" s="22" t="n">
        <x:v>30</x:v>
      </x:c>
      <x:c r="H10" t="str">
        <x:v>$/hr</x:v>
      </x:c>
      <x:c r="I10" t="str">
        <x:v>Hardware, base, final build</x:v>
      </x:c>
    </x:row>
    <x:row r="11" ht="15" hidden="0" customHeight="1">
      <x:c r="A11" t="str">
        <x:v>Target gross margin</x:v>
      </x:c>
      <x:c r="B11" s="21" t="n">
        <x:v>0.58</x:v>
      </x:c>
      <x:c r="C11" t="str">
        <x:v>%</x:v>
      </x:c>
      <x:c r="D11" t="str">
        <x:v>Used to calculate suggested selling price</x:v>
      </x:c>
      <x:c r="F11" t="str">
        <x:v>QC / finishing</x:v>
      </x:c>
      <x:c r="G11" s="22" t="n">
        <x:v>28</x:v>
      </x:c>
      <x:c r="H11" t="str">
        <x:v>$/hr</x:v>
      </x:c>
      <x:c r="I11" t="str">
        <x:v>Inspection, touch-up, packing</x:v>
      </x:c>
    </x:row>
    <x:row r="12" ht="15" hidden="0" customHeight="1">
      <x:c r="A12" t="str">
        <x:v>Distributor / showroom margin</x:v>
      </x:c>
      <x:c r="B12" s="21" t="n">
        <x:v>0.25</x:v>
      </x:c>
      <x:c r="C12" t="str">
        <x:v>%</x:v>
      </x:c>
      <x:c r="D12" t="str">
        <x:v>Optional channel margin above wholesale price</x:v>
      </x:c>
      <x:c r="F12" t="str">
        <x:v>Styling / fitting</x:v>
      </x:c>
      <x:c r="G12" s="22" t="n">
        <x:v>35</x:v>
      </x:c>
      <x:c r="H12" t="str">
        <x:v>$/hr</x:v>
      </x:c>
      <x:c r="I12" t="str">
        <x:v>Clothing fit test and presentation</x:v>
      </x:c>
    </x:row>
    <x:row r="13" ht="15" hidden="0" customHeight="1">
      <x:c r="A13" t="str">
        <x:v>Procurement / inflation buffer</x:v>
      </x:c>
      <x:c r="B13" s="21" t="n">
        <x:v>0.06</x:v>
      </x:c>
      <x:c r="C13" t="str">
        <x:v>% of materials</x:v>
      </x:c>
      <x:c r="D13" t="str">
        <x:v>Applied once to direct materials; not to local labor</x:v>
      </x:c>
      <x:c r="F13" t="str">
        <x:v>Project management</x:v>
      </x:c>
      <x:c r="G13" s="22" t="n">
        <x:v>50</x:v>
      </x:c>
      <x:c r="H13" t="str">
        <x:v>$/hr</x:v>
      </x:c>
      <x:c r="I13" t="str">
        <x:v>Prototype coordination</x:v>
      </x:c>
    </x:row>
    <x:row r="14" ht="15" hidden="0" customHeight="1">
      <x:c r="A14" t="str">
        <x:v>Standard Real mix</x:v>
      </x:c>
      <x:c r="B14" s="21" t="n">
        <x:v>0.55</x:v>
      </x:c>
      <x:c r="C14" t="str">
        <x:v>% of units</x:v>
      </x:c>
      <x:c r="D14" t="str">
        <x:v>Production mix assumption</x:v>
      </x:c>
    </x:row>
    <x:row r="15" ht="15" hidden="0" customHeight="1">
      <x:c r="A15" t="str">
        <x:v>Premium Real mix</x:v>
      </x:c>
      <x:c r="B15" s="21" t="n">
        <x:v>0.35</x:v>
      </x:c>
      <x:c r="C15" t="str">
        <x:v>% of units</x:v>
      </x:c>
      <x:c r="D15" t="str">
        <x:v>Production mix assumption</x:v>
      </x:c>
    </x:row>
    <x:row r="16" ht="15" hidden="0" customHeight="1">
      <x:c r="A16" t="str">
        <x:v>Hyper Real mix</x:v>
      </x:c>
      <x:c r="B16" s="21" t="n">
        <x:v>0.1</x:v>
      </x:c>
      <x:c r="C16" t="str">
        <x:v>% of units</x:v>
      </x:c>
      <x:c r="D16" t="str">
        <x:v>Production mix assumption</x:v>
      </x:c>
    </x:row>
    <x:row r="17" ht="15" hidden="0" customHeight="1">
      <x:c r="A17" t="str">
        <x:v>Scrap rate - Standard</x:v>
      </x:c>
      <x:c r="B17" s="21" t="n">
        <x:v>0.05</x:v>
      </x:c>
      <x:c r="C17" t="str">
        <x:v>%</x:v>
      </x:c>
      <x:c r="D17" t="str">
        <x:v>Failed shells / paint rejects</x:v>
      </x:c>
    </x:row>
    <x:row r="18" ht="15" hidden="0" customHeight="1">
      <x:c r="A18" t="str">
        <x:v>Scrap rate - Premium</x:v>
      </x:c>
      <x:c r="B18" s="21" t="n">
        <x:v>0.08</x:v>
      </x:c>
      <x:c r="C18" t="str">
        <x:v>%</x:v>
      </x:c>
      <x:c r="D18" t="str">
        <x:v>Higher finish sensitivity</x:v>
      </x:c>
    </x:row>
    <x:row r="19" ht="15" hidden="0" customHeight="1">
      <x:c r="A19" t="str">
        <x:v>Scrap rate - Hyper</x:v>
      </x:c>
      <x:c r="B19" s="21" t="n">
        <x:v>0.12</x:v>
      </x:c>
      <x:c r="C19" t="str">
        <x:v>%</x:v>
      </x:c>
      <x:c r="D19" t="str">
        <x:v>Silicone and hand-finish complexity</x:v>
      </x:c>
    </x:row>
    <x:row r="20" ht="15" hidden="0" customHeight="1">
      <x:c r="A20" t="str">
        <x:v>Inbound freight - Standard</x:v>
      </x:c>
      <x:c r="B20" s="22" t="n">
        <x:v>250</x:v>
      </x:c>
      <x:c r="C20" t="str">
        <x:v>$/unit</x:v>
      </x:c>
      <x:c r="D20" t="str">
        <x:v>Planning assumption; replace with route quote</x:v>
      </x:c>
    </x:row>
    <x:row r="21" ht="15" hidden="0" customHeight="1">
      <x:c r="A21" t="str">
        <x:v>Inbound freight - Premium</x:v>
      </x:c>
      <x:c r="B21" s="22" t="n">
        <x:v>300</x:v>
      </x:c>
      <x:c r="C21" t="str">
        <x:v>$/unit</x:v>
      </x:c>
      <x:c r="D21" t="str">
        <x:v>Planning assumption; replace with route quote</x:v>
      </x:c>
    </x:row>
    <x:row r="22" ht="15" hidden="0" customHeight="1">
      <x:c r="A22" t="str">
        <x:v>Inbound freight - Hyper</x:v>
      </x:c>
      <x:c r="B22" s="22" t="n">
        <x:v>450</x:v>
      </x:c>
      <x:c r="C22" t="str">
        <x:v>$/unit</x:v>
      </x:c>
      <x:c r="D22" t="str">
        <x:v>Higher weight and protective packaging</x:v>
      </x:c>
    </x:row>
    <x:row r="23" ht="15" hidden="0" customHeight="1">
      <x:c r="A23" t="str">
        <x:v>Import duty / customs</x:v>
      </x:c>
      <x:c r="B23" s="21" t="n">
        <x:v>0.05</x:v>
      </x:c>
      <x:c r="C23" t="str">
        <x:v>% of materials + freight</x:v>
      </x:c>
      <x:c r="D23" t="str">
        <x:v>Placeholder; depends on origin, destination and HS classification</x:v>
      </x:c>
    </x:row>
    <x:row r="24" ht="15" hidden="0" customHeight="1">
      <x:c r="A24" t="str">
        <x:v>Launch contingency</x:v>
      </x:c>
      <x:c r="B24" s="21" t="n">
        <x:v>0.15</x:v>
      </x:c>
      <x:c r="C24" t="str">
        <x:v>% of development/tooling</x:v>
      </x:c>
      <x:c r="D24" t="str">
        <x:v>Prototype and tooling uncertainty</x:v>
      </x:c>
    </x:row>
    <x:row r="25" ht="15" hidden="0" customHeight="1">
      <x:c r="A25" t="str">
        <x:v>Sales commission / payment</x:v>
      </x:c>
      <x:c r="B25" s="21" t="n">
        <x:v>0.03</x:v>
      </x:c>
      <x:c r="C25" t="str">
        <x:v>% of revenue</x:v>
      </x:c>
      <x:c r="D25" t="str">
        <x:v>Direct sales and payment cost allowance</x:v>
      </x:c>
    </x:row>
    <x:row r="26" ht="15" hidden="0" customHeight="1">
      <x:c r="A26" t="str">
        <x:v>Pre-revenue runway</x:v>
      </x:c>
      <x:c r="B26" s="20" t="n">
        <x:v>6</x:v>
      </x:c>
      <x:c r="C26" t="str">
        <x:v>months</x:v>
      </x:c>
      <x:c r="D26" t="str">
        <x:v>Fixed operating runway included in funding envelope</x:v>
      </x:c>
    </x:row>
    <x:row r="27" ht="15" hidden="0" customHeight="1">
      <x:c r="A27" t="str">
        <x:v>Annual fixed OPEX</x:v>
      </x:c>
      <x:c r="B27" s="17" t="n">
        <x:f>'Operating OPEX'!C12</x:f>
        <x:v>348000</x:v>
      </x:c>
      <x:c r="C27" t="str">
        <x:v>$/year</x:v>
      </x:c>
      <x:c r="D27" t="str">
        <x:v>Formula linked to Operating OPEX</x:v>
      </x:c>
    </x:row>
  </x:sheetData>
  <x:mergeCells>
    <x:mergeCell ref="A1:H1"/>
    <x:mergeCell ref="A3:D3"/>
    <x:mergeCell ref="F3:I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8.22000122070312" hidden="0" customWidth="1"/>
    <x:col min="2" max="2" width="29.219999313354492" hidden="0" customWidth="1"/>
    <x:col min="3" max="3" width="29.219999313354492" hidden="0" customWidth="1"/>
    <x:col min="4" max="4" width="29.219999313354492" hidden="0" customWidth="1"/>
    <x:col min="5" max="5" width="29.219999313354492" hidden="0" customWidth="1"/>
    <x:col min="6" max="6" width="29.219999313354492" hidden="0" customWidth="1"/>
    <x:col min="7" max="7" width="29.219999313354492" hidden="0" customWidth="1"/>
    <x:col min="8" max="8" width="29.219999313354492" hidden="0" customWidth="1"/>
    <x:col min="9" max="9" width="11.5600004196167" hidden="0" customWidth="1"/>
    <x:col min="10" max="10" width="9.220000267028809" hidden="0" customWidth="1"/>
    <x:col min="11" max="11" width="9.220000267028809" hidden="0" customWidth="1"/>
    <x:col min="12" max="12" width="36" hidden="0" customWidth="1"/>
  </x:cols>
  <x:sheetData>
    <x:row r="1" ht="19.200000762939453" hidden="0" customHeight="1">
      <x:c r="A1" s="6" t="str">
        <x:v>Bill of Materials - Per Unit</x:v>
      </x:c>
      <x:c r="B1" s="6" t="str">
        <x:v>Bill of Materials - Per Unit</x:v>
      </x:c>
      <x:c r="C1" s="6" t="str">
        <x:v>Bill of Materials - Per Unit</x:v>
      </x:c>
      <x:c r="D1" s="6" t="str">
        <x:v>Bill of Materials - Per Unit</x:v>
      </x:c>
      <x:c r="E1" s="6" t="str">
        <x:v>Bill of Materials - Per Unit</x:v>
      </x:c>
      <x:c r="F1" s="6" t="str">
        <x:v>Bill of Materials - Per Unit</x:v>
      </x:c>
      <x:c r="G1" s="6" t="str">
        <x:v>Bill of Materials - Per Unit</x:v>
      </x:c>
      <x:c r="H1" s="6" t="str">
        <x:v>Bill of Materials - Per Unit</x:v>
      </x:c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/>
    <x:row r="3" ht="15" hidden="0" customHeight="1">
      <x:c r="A3" s="7" t="str">
        <x:v>Quantities are directional; replace with supplier quotes after prototype trials. BOM totals include the material waste factor; procurement buffer is added once in Unit Economics.</x:v>
      </x:c>
    </x:row>
    <x:row r="4"/>
    <x:row r="5" ht="15" hidden="0" customHeight="1">
      <x:c r="A5" s="13" t="str">
        <x:v>Component</x:v>
      </x:c>
      <x:c r="B5" s="14" t="str">
        <x:v>Material</x:v>
      </x:c>
      <x:c r="C5" s="14" t="str">
        <x:v>Unit</x:v>
      </x:c>
      <x:c r="D5" s="14" t="str">
        <x:v>Unit Cost</x:v>
      </x:c>
      <x:c r="E5" s="14" t="str">
        <x:v>Qty Standard</x:v>
      </x:c>
      <x:c r="F5" s="14" t="str">
        <x:v>Qty Premium</x:v>
      </x:c>
      <x:c r="G5" s="14" t="str">
        <x:v>Qty Hyper</x:v>
      </x:c>
      <x:c r="H5" s="14" t="str">
        <x:v>Standard Cost</x:v>
      </x:c>
      <x:c r="I5" s="14" t="str">
        <x:v>Premium Cost</x:v>
      </x:c>
      <x:c r="J5" s="14" t="str">
        <x:v>Hyper Cost</x:v>
      </x:c>
      <x:c r="K5" s="14" t="str">
        <x:v>Source ID</x:v>
      </x:c>
      <x:c r="L5" s="15" t="str">
        <x:v>Notes</x:v>
      </x:c>
    </x:row>
    <x:row r="6" ht="15" hidden="0" customHeight="1">
      <x:c r="A6" t="str">
        <x:v>Torso/limbs shell resin</x:v>
      </x:c>
      <x:c r="B6" t="str">
        <x:v>Polyester laminating resin</x:v>
      </x:c>
      <x:c r="C6" t="str">
        <x:v>gal</x:v>
      </x:c>
      <x:c r="D6" s="30" t="n">
        <x:f>'Sources'!C4</x:f>
        <x:v>51</x:v>
      </x:c>
      <x:c r="E6" s="29" t="n">
        <x:v>3.2</x:v>
      </x:c>
      <x:c r="F6" s="29" t="n">
        <x:v>3.4</x:v>
      </x:c>
      <x:c r="G6" s="29" t="n">
        <x:v>2.2</x:v>
      </x:c>
      <x:c r="H6" s="24" t="n">
        <x:f>D6*E6*(1+'Assumptions'!$B$8)</x:f>
        <x:v>176.25600000000003</x:v>
      </x:c>
      <x:c r="I6" s="24" t="n">
        <x:f>D6*F6*(1+'Assumptions'!$B$8)</x:f>
        <x:v>187.27200000000002</x:v>
      </x:c>
      <x:c r="J6" s="24" t="n">
        <x:f>D6*G6*(1+'Assumptions'!$B$8)</x:f>
        <x:v>121.17600000000002</x:v>
      </x:c>
      <x:c r="K6" t="str">
        <x:v>S1</x:v>
      </x:c>
      <x:c r="L6" t="str">
        <x:v>Fiberglass shell resin</x:v>
      </x:c>
    </x:row>
    <x:row r="7" ht="15" hidden="0" customHeight="1">
      <x:c r="A7" t="str">
        <x:v>Glass fiber</x:v>
      </x:c>
      <x:c r="B7" t="str">
        <x:v>Fiberglass cloth/mat</x:v>
      </x:c>
      <x:c r="C7" t="str">
        <x:v>sq yd</x:v>
      </x:c>
      <x:c r="D7" s="28" t="n">
        <x:v>6.5</x:v>
      </x:c>
      <x:c r="E7" s="29" t="n">
        <x:v>18</x:v>
      </x:c>
      <x:c r="F7" s="29" t="n">
        <x:v>20</x:v>
      </x:c>
      <x:c r="G7" s="29" t="n">
        <x:v>14</x:v>
      </x:c>
      <x:c r="H7" s="24" t="n">
        <x:f>D7*E7*(1+'Assumptions'!$B$8)</x:f>
        <x:v>126.36000000000001</x:v>
      </x:c>
      <x:c r="I7" s="24" t="n">
        <x:f>D7*F7*(1+'Assumptions'!$B$8)</x:f>
        <x:v>140.4</x:v>
      </x:c>
      <x:c r="J7" s="24" t="n">
        <x:f>D7*G7*(1+'Assumptions'!$B$8)</x:f>
        <x:v>98.28</x:v>
      </x:c>
      <x:c r="K7" t="str">
        <x:v>Assumption</x:v>
      </x:c>
      <x:c r="L7" t="str">
        <x:v>Supplier quote needed</x:v>
      </x:c>
    </x:row>
    <x:row r="8" ht="15" hidden="0" customHeight="1">
      <x:c r="A8" t="str">
        <x:v>Gelcoat/primer base</x:v>
      </x:c>
      <x:c r="B8" t="str">
        <x:v>Primer/gelcoat</x:v>
      </x:c>
      <x:c r="C8" t="str">
        <x:v>gal</x:v>
      </x:c>
      <x:c r="D8" s="28" t="n">
        <x:v>48</x:v>
      </x:c>
      <x:c r="E8" s="29" t="n">
        <x:v>0.6</x:v>
      </x:c>
      <x:c r="F8" s="29" t="n">
        <x:v>0.7</x:v>
      </x:c>
      <x:c r="G8" s="29" t="n">
        <x:v>0.4</x:v>
      </x:c>
      <x:c r="H8" s="24" t="n">
        <x:f>D8*E8*(1+'Assumptions'!$B$8)</x:f>
        <x:v>31.104</x:v>
      </x:c>
      <x:c r="I8" s="24" t="n">
        <x:f>D8*F8*(1+'Assumptions'!$B$8)</x:f>
        <x:v>36.288</x:v>
      </x:c>
      <x:c r="J8" s="24" t="n">
        <x:f>D8*G8*(1+'Assumptions'!$B$8)</x:f>
        <x:v>20.736000000000004</x:v>
      </x:c>
      <x:c r="K8" t="str">
        <x:v>Assumption</x:v>
      </x:c>
      <x:c r="L8" t="str">
        <x:v>Surface prep</x:v>
      </x:c>
    </x:row>
    <x:row r="9" ht="15" hidden="0" customHeight="1">
      <x:c r="A9" t="str">
        <x:v>PU detail castings</x:v>
      </x:c>
      <x:c r="B9" t="str">
        <x:v>PU resin</x:v>
      </x:c>
      <x:c r="C9" t="str">
        <x:v>lb</x:v>
      </x:c>
      <x:c r="D9" s="30" t="n">
        <x:f>'Sources'!C5/24</x:f>
        <x:v>9.697916666666666</x:v>
      </x:c>
      <x:c r="E9" s="29" t="n">
        <x:v>5</x:v>
      </x:c>
      <x:c r="F9" s="29" t="n">
        <x:v>7</x:v>
      </x:c>
      <x:c r="G9" s="29" t="n">
        <x:v>4</x:v>
      </x:c>
      <x:c r="H9" s="24" t="n">
        <x:f>D9*E9*(1+'Assumptions'!$B$8)</x:f>
        <x:v>52.36875</x:v>
      </x:c>
      <x:c r="I9" s="24" t="n">
        <x:f>D9*F9*(1+'Assumptions'!$B$8)</x:f>
        <x:v>73.31625</x:v>
      </x:c>
      <x:c r="J9" s="24" t="n">
        <x:f>D9*G9*(1+'Assumptions'!$B$8)</x:f>
        <x:v>41.895</x:v>
      </x:c>
      <x:c r="K9" t="str">
        <x:v>S2</x:v>
      </x:c>
      <x:c r="L9" t="str">
        <x:v>Hands, face, ears; $232.75/24 lb</x:v>
      </x:c>
    </x:row>
    <x:row r="10" ht="15" hidden="0" customHeight="1">
      <x:c r="A10" t="str">
        <x:v>Silicone skin zones</x:v>
      </x:c>
      <x:c r="B10" t="str">
        <x:v>Platinum silicone</x:v>
      </x:c>
      <x:c r="C10" t="str">
        <x:v>gal</x:v>
      </x:c>
      <x:c r="D10" s="30" t="n">
        <x:f>'Sources'!C6</x:f>
        <x:v>244.81</x:v>
      </x:c>
      <x:c r="E10" s="29" t="n">
        <x:v>0</x:v>
      </x:c>
      <x:c r="F10" s="29" t="n">
        <x:v>0.25</x:v>
      </x:c>
      <x:c r="G10" s="29" t="n">
        <x:v>2.5</x:v>
      </x:c>
      <x:c r="H10" s="24" t="n">
        <x:f>D10*E10*(1+'Assumptions'!$B$8)</x:f>
        <x:v>0</x:v>
      </x:c>
      <x:c r="I10" s="24" t="n">
        <x:f>D10*F10*(1+'Assumptions'!$B$8)</x:f>
        <x:v>66.09870000000001</x:v>
      </x:c>
      <x:c r="J10" s="24" t="n">
        <x:f>D10*G10*(1+'Assumptions'!$B$8)</x:f>
        <x:v>660.987</x:v>
      </x:c>
      <x:c r="K10" t="str">
        <x:v>S3</x:v>
      </x:c>
      <x:c r="L10" t="str">
        <x:v>Face/hands or full skin zones</x:v>
      </x:c>
    </x:row>
    <x:row r="11" ht="15" hidden="0" customHeight="1">
      <x:c r="A11" t="str">
        <x:v>Pigments and airbrush paint</x:v>
      </x:c>
      <x:c r="B11" t="str">
        <x:v>PU/acrylic pigments</x:v>
      </x:c>
      <x:c r="C11" t="str">
        <x:v>set</x:v>
      </x:c>
      <x:c r="D11" s="28" t="n">
        <x:v>95</x:v>
      </x:c>
      <x:c r="E11" s="29" t="n">
        <x:v>0.45</x:v>
      </x:c>
      <x:c r="F11" s="29" t="n">
        <x:v>0.9</x:v>
      </x:c>
      <x:c r="G11" s="29" t="n">
        <x:v>1.8</x:v>
      </x:c>
      <x:c r="H11" s="24" t="n">
        <x:f>D11*E11*(1+'Assumptions'!$B$8)</x:f>
        <x:v>46.17</x:v>
      </x:c>
      <x:c r="I11" s="24" t="n">
        <x:f>D11*F11*(1+'Assumptions'!$B$8)</x:f>
        <x:v>92.34</x:v>
      </x:c>
      <x:c r="J11" s="24" t="n">
        <x:f>D11*G11*(1+'Assumptions'!$B$8)</x:f>
        <x:v>184.68</x:v>
      </x:c>
      <x:c r="K11" t="str">
        <x:v>Assumption</x:v>
      </x:c>
      <x:c r="L11" t="str">
        <x:v>Skin tone layers</x:v>
      </x:c>
    </x:row>
    <x:row r="12" ht="15" hidden="0" customHeight="1">
      <x:c r="A12" t="str">
        <x:v>Satin matte clear coat</x:v>
      </x:c>
      <x:c r="B12" t="str">
        <x:v>Protective clear coat</x:v>
      </x:c>
      <x:c r="C12" t="str">
        <x:v>gal</x:v>
      </x:c>
      <x:c r="D12" s="28" t="n">
        <x:v>85</x:v>
      </x:c>
      <x:c r="E12" s="29" t="n">
        <x:v>0.25</x:v>
      </x:c>
      <x:c r="F12" s="29" t="n">
        <x:v>0.35</x:v>
      </x:c>
      <x:c r="G12" s="29" t="n">
        <x:v>0.55</x:v>
      </x:c>
      <x:c r="H12" s="24" t="n">
        <x:f>D12*E12*(1+'Assumptions'!$B$8)</x:f>
        <x:v>22.950000000000003</x:v>
      </x:c>
      <x:c r="I12" s="24" t="n">
        <x:f>D12*F12*(1+'Assumptions'!$B$8)</x:f>
        <x:v>32.129999999999995</x:v>
      </x:c>
      <x:c r="J12" s="24" t="n">
        <x:f>D12*G12*(1+'Assumptions'!$B$8)</x:f>
        <x:v>50.49000000000001</x:v>
      </x:c>
      <x:c r="K12" t="str">
        <x:v>Assumption</x:v>
      </x:c>
      <x:c r="L12" t="str">
        <x:v>UV/wear resistant</x:v>
      </x:c>
    </x:row>
    <x:row r="13" ht="15" hidden="0" customHeight="1">
      <x:c r="A13" t="str">
        <x:v>Metal inserts and connectors</x:v>
      </x:c>
      <x:c r="B13" t="str">
        <x:v>Stainless/brass hardware</x:v>
      </x:c>
      <x:c r="C13" t="str">
        <x:v>set</x:v>
      </x:c>
      <x:c r="D13" s="28" t="n">
        <x:v>115</x:v>
      </x:c>
      <x:c r="E13" s="29" t="n">
        <x:v>1</x:v>
      </x:c>
      <x:c r="F13" s="29" t="n">
        <x:v>1.25</x:v>
      </x:c>
      <x:c r="G13" s="29" t="n">
        <x:v>1.6</x:v>
      </x:c>
      <x:c r="H13" s="24" t="n">
        <x:f>D13*E13*(1+'Assumptions'!$B$8)</x:f>
        <x:v>124.2</x:v>
      </x:c>
      <x:c r="I13" s="24" t="n">
        <x:f>D13*F13*(1+'Assumptions'!$B$8)</x:f>
        <x:v>155.25</x:v>
      </x:c>
      <x:c r="J13" s="24" t="n">
        <x:f>D13*G13*(1+'Assumptions'!$B$8)</x:f>
        <x:v>198.72000000000003</x:v>
      </x:c>
      <x:c r="K13" t="str">
        <x:v>Assumption</x:v>
      </x:c>
      <x:c r="L13" t="str">
        <x:v>Bayonet, threaded inserts, pins</x:v>
      </x:c>
    </x:row>
    <x:row r="14" ht="15" hidden="0" customHeight="1">
      <x:c r="A14" t="str">
        <x:v>Magnets/gaskets/washers</x:v>
      </x:c>
      <x:c r="B14" t="str">
        <x:v>Neodymium + EPDM</x:v>
      </x:c>
      <x:c r="C14" t="str">
        <x:v>set</x:v>
      </x:c>
      <x:c r="D14" s="28" t="n">
        <x:v>38</x:v>
      </x:c>
      <x:c r="E14" s="29" t="n">
        <x:v>1</x:v>
      </x:c>
      <x:c r="F14" s="29" t="n">
        <x:v>1.25</x:v>
      </x:c>
      <x:c r="G14" s="29" t="n">
        <x:v>1.5</x:v>
      </x:c>
      <x:c r="H14" s="24" t="n">
        <x:f>D14*E14*(1+'Assumptions'!$B$8)</x:f>
        <x:v>41.040000000000006</x:v>
      </x:c>
      <x:c r="I14" s="24" t="n">
        <x:f>D14*F14*(1+'Assumptions'!$B$8)</x:f>
        <x:v>51.300000000000004</x:v>
      </x:c>
      <x:c r="J14" s="24" t="n">
        <x:f>D14*G14*(1+'Assumptions'!$B$8)</x:f>
        <x:v>61.56</x:v>
      </x:c>
      <x:c r="K14" t="str">
        <x:v>Assumption</x:v>
      </x:c>
      <x:c r="L14" t="str">
        <x:v>Positioning and protection</x:v>
      </x:c>
    </x:row>
    <x:row r="15" ht="15" hidden="0" customHeight="1">
      <x:c r="A15" t="str">
        <x:v>Base and support rod</x:v>
      </x:c>
      <x:c r="B15" t="str">
        <x:v>Steel/aluminum</x:v>
      </x:c>
      <x:c r="C15" t="str">
        <x:v>set</x:v>
      </x:c>
      <x:c r="D15" s="28" t="n">
        <x:v>145</x:v>
      </x:c>
      <x:c r="E15" s="29" t="n">
        <x:v>1</x:v>
      </x:c>
      <x:c r="F15" s="29" t="n">
        <x:v>1.15</x:v>
      </x:c>
      <x:c r="G15" s="29" t="n">
        <x:v>1.25</x:v>
      </x:c>
      <x:c r="H15" s="24" t="n">
        <x:f>D15*E15*(1+'Assumptions'!$B$8)</x:f>
        <x:v>156.60000000000002</x:v>
      </x:c>
      <x:c r="I15" s="24" t="n">
        <x:f>D15*F15*(1+'Assumptions'!$B$8)</x:f>
        <x:v>180.09</x:v>
      </x:c>
      <x:c r="J15" s="24" t="n">
        <x:f>D15*G15*(1+'Assumptions'!$B$8)</x:f>
        <x:v>195.75</x:v>
      </x:c>
      <x:c r="K15" t="str">
        <x:v>Assumption</x:v>
      </x:c>
      <x:c r="L15" t="str">
        <x:v>Weighted base + anti-rotation</x:v>
      </x:c>
    </x:row>
    <x:row r="16" ht="15" hidden="0" customHeight="1">
      <x:c r="A16" t="str">
        <x:v>Eyes / lashes / brows</x:v>
      </x:c>
      <x:c r="B16" t="str">
        <x:v>Glass eyes + finishing</x:v>
      </x:c>
      <x:c r="C16" t="str">
        <x:v>set</x:v>
      </x:c>
      <x:c r="D16" s="28" t="n">
        <x:v>85</x:v>
      </x:c>
      <x:c r="E16" s="29" t="n">
        <x:v>0</x:v>
      </x:c>
      <x:c r="F16" s="29" t="n">
        <x:v>1</x:v>
      </x:c>
      <x:c r="G16" s="29" t="n">
        <x:v>1.4</x:v>
      </x:c>
      <x:c r="H16" s="24" t="n">
        <x:f>D16*E16*(1+'Assumptions'!$B$8)</x:f>
        <x:v>0</x:v>
      </x:c>
      <x:c r="I16" s="24" t="n">
        <x:f>D16*F16*(1+'Assumptions'!$B$8)</x:f>
        <x:v>91.80000000000001</x:v>
      </x:c>
      <x:c r="J16" s="24" t="n">
        <x:f>D16*G16*(1+'Assumptions'!$B$8)</x:f>
        <x:v>128.51999999999998</x:v>
      </x:c>
      <x:c r="K16" t="str">
        <x:v>Assumption</x:v>
      </x:c>
      <x:c r="L16" t="str">
        <x:v>Premium and Hyper only</x:v>
      </x:c>
    </x:row>
    <x:row r="17" ht="15" hidden="0" customHeight="1">
      <x:c r="A17" t="str">
        <x:v>Wig or hair solution</x:v>
      </x:c>
      <x:c r="B17" t="str">
        <x:v>Wig/lit hair finish</x:v>
      </x:c>
      <x:c r="C17" t="str">
        <x:v>set</x:v>
      </x:c>
      <x:c r="D17" s="28" t="n">
        <x:v>120</x:v>
      </x:c>
      <x:c r="E17" s="29" t="n">
        <x:v>0</x:v>
      </x:c>
      <x:c r="F17" s="29" t="n">
        <x:v>1</x:v>
      </x:c>
      <x:c r="G17" s="29" t="n">
        <x:v>2.5</x:v>
      </x:c>
      <x:c r="H17" s="24" t="n">
        <x:f>D17*E17*(1+'Assumptions'!$B$8)</x:f>
        <x:v>0</x:v>
      </x:c>
      <x:c r="I17" s="24" t="n">
        <x:f>D17*F17*(1+'Assumptions'!$B$8)</x:f>
        <x:v>129.60000000000002</x:v>
      </x:c>
      <x:c r="J17" s="24" t="n">
        <x:f>D17*G17*(1+'Assumptions'!$B$8)</x:f>
        <x:v>324</x:v>
      </x:c>
      <x:c r="K17" t="str">
        <x:v>Assumption</x:v>
      </x:c>
      <x:c r="L17" t="str">
        <x:v>Optional presentation element</x:v>
      </x:c>
    </x:row>
    <x:row r="18" ht="15" hidden="0" customHeight="1">
      <x:c r="A18" t="str">
        <x:v>Packaging</x:v>
      </x:c>
      <x:c r="B18" t="str">
        <x:v>Crate/foam/sleeves</x:v>
      </x:c>
      <x:c r="C18" t="str">
        <x:v>set</x:v>
      </x:c>
      <x:c r="D18" s="28" t="n">
        <x:v>120</x:v>
      </x:c>
      <x:c r="E18" s="29" t="n">
        <x:v>1</x:v>
      </x:c>
      <x:c r="F18" s="29" t="n">
        <x:v>1.15</x:v>
      </x:c>
      <x:c r="G18" s="29" t="n">
        <x:v>1.3</x:v>
      </x:c>
      <x:c r="H18" s="24" t="n">
        <x:f>D18*E18*(1+'Assumptions'!$B$8)</x:f>
        <x:v>129.60000000000002</x:v>
      </x:c>
      <x:c r="I18" s="24" t="n">
        <x:f>D18*F18*(1+'Assumptions'!$B$8)</x:f>
        <x:v>149.04000000000002</x:v>
      </x:c>
      <x:c r="J18" s="24" t="n">
        <x:f>D18*G18*(1+'Assumptions'!$B$8)</x:f>
        <x:v>168.48000000000002</x:v>
      </x:c>
      <x:c r="K18" t="str">
        <x:v>Assumption</x:v>
      </x:c>
      <x:c r="L18" t="str">
        <x:v>Shipping-safe packaging</x:v>
      </x:c>
    </x:row>
    <x:row r="19" ht="15" hidden="0" customHeight="1">
      <x:c r="A19" t="str">
        <x:v>Consumables</x:v>
      </x:c>
      <x:c r="B19" t="str">
        <x:v>Release, sandpaper, masking</x:v>
      </x:c>
      <x:c r="C19" t="str">
        <x:v>set</x:v>
      </x:c>
      <x:c r="D19" s="28" t="n">
        <x:v>65</x:v>
      </x:c>
      <x:c r="E19" s="29" t="n">
        <x:v>1</x:v>
      </x:c>
      <x:c r="F19" s="29" t="n">
        <x:v>1.35</x:v>
      </x:c>
      <x:c r="G19" s="29" t="n">
        <x:v>1.8</x:v>
      </x:c>
      <x:c r="H19" s="24" t="n">
        <x:f>D19*E19*(1+'Assumptions'!$B$8)</x:f>
        <x:v>70.2</x:v>
      </x:c>
      <x:c r="I19" s="24" t="n">
        <x:f>D19*F19*(1+'Assumptions'!$B$8)</x:f>
        <x:v>94.77000000000001</x:v>
      </x:c>
      <x:c r="J19" s="24" t="n">
        <x:f>D19*G19*(1+'Assumptions'!$B$8)</x:f>
        <x:v>126.36000000000001</x:v>
      </x:c>
      <x:c r="K19" t="str">
        <x:v>Assumption</x:v>
      </x:c>
      <x:c r="L19" t="str">
        <x:v>Workshop consumables</x:v>
      </x:c>
    </x:row>
    <x:row r="20" ht="15" hidden="0" customHeight="1">
      <x:c r="A20" s="25" t="str">
        <x:v>Total direct materials</x:v>
      </x:c>
      <x:c r="B20" s="25" t="str"/>
      <x:c r="C20" s="25" t="str"/>
      <x:c r="D20" s="26" t="str"/>
      <x:c r="E20" s="26" t="str"/>
      <x:c r="F20" s="26" t="str"/>
      <x:c r="G20" s="26" t="str"/>
      <x:c r="H20" s="26" t="n">
        <x:f>SUM(H6:H19)</x:f>
        <x:v>976.8487500000001</x:v>
      </x:c>
      <x:c r="I20" s="26" t="n">
        <x:f>SUM(I6:I19)</x:f>
        <x:v>1479.69495</x:v>
      </x:c>
      <x:c r="J20" s="26" t="n">
        <x:f>SUM(J6:J19)</x:f>
        <x:v>2381.634</x:v>
      </x:c>
      <x:c r="K20" s="25" t="str"/>
      <x:c r="L20" s="25" t="str"/>
    </x:row>
  </x:sheetData>
  <x:mergeCells>
    <x:mergeCell ref="A1:H1"/>
    <x:mergeCell ref="A3:L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.220001220703125" hidden="0" customWidth="1"/>
    <x:col min="2" max="2" width="46.220001220703125" hidden="0" customWidth="1"/>
    <x:col min="3" max="3" width="46.220001220703125" hidden="0" customWidth="1"/>
    <x:col min="4" max="4" width="46.220001220703125" hidden="0" customWidth="1"/>
    <x:col min="5" max="5" width="46.220001220703125" hidden="0" customWidth="1"/>
    <x:col min="6" max="6" width="46.220001220703125" hidden="0" customWidth="1"/>
    <x:col min="7" max="7" width="46.220001220703125" hidden="0" customWidth="1"/>
    <x:col min="8" max="8" width="46.220001220703125" hidden="0" customWidth="1"/>
    <x:col min="9" max="9" width="9.220000267028809" hidden="0" customWidth="1"/>
    <x:col min="10" max="10" width="20.670000076293945" hidden="0" customWidth="1"/>
    <x:col min="11" max="11" width="7.78000020980835" hidden="0" customWidth="1"/>
  </x:cols>
  <x:sheetData>
    <x:row r="1" ht="19.200000762939453" hidden="0" customHeight="1">
      <x:c r="A1" s="6" t="str">
        <x:v>Labor Routing - Hours and Cost Per Unit</x:v>
      </x:c>
      <x:c r="B1" s="6" t="str">
        <x:v>Labor Routing - Hours and Cost Per Unit</x:v>
      </x:c>
      <x:c r="C1" s="6" t="str">
        <x:v>Labor Routing - Hours and Cost Per Unit</x:v>
      </x:c>
      <x:c r="D1" s="6" t="str">
        <x:v>Labor Routing - Hours and Cost Per Unit</x:v>
      </x:c>
      <x:c r="E1" s="6" t="str">
        <x:v>Labor Routing - Hours and Cost Per Unit</x:v>
      </x:c>
      <x:c r="F1" s="6" t="str">
        <x:v>Labor Routing - Hours and Cost Per Unit</x:v>
      </x:c>
      <x:c r="G1" s="6" t="str">
        <x:v>Labor Routing - Hours and Cost Per Unit</x:v>
      </x:c>
      <x:c r="H1" s="6" t="str">
        <x:v>Labor Routing - Hours and Cost Per Unit</x:v>
      </x:c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/>
    <x:row r="3"/>
    <x:row r="4"/>
    <x:row r="5" ht="15" hidden="0" customHeight="1">
      <x:c r="A5" s="13" t="str">
        <x:v>Operation</x:v>
      </x:c>
      <x:c r="B5" s="14" t="str">
        <x:v>Role</x:v>
      </x:c>
      <x:c r="C5" s="14" t="str">
        <x:v>Rate</x:v>
      </x:c>
      <x:c r="D5" s="14" t="str">
        <x:v>Hours Standard</x:v>
      </x:c>
      <x:c r="E5" s="14" t="str">
        <x:v>Hours Premium</x:v>
      </x:c>
      <x:c r="F5" s="14" t="str">
        <x:v>Hours Hyper</x:v>
      </x:c>
      <x:c r="G5" s="14" t="str">
        <x:v>Cost Standard</x:v>
      </x:c>
      <x:c r="H5" s="14" t="str">
        <x:v>Cost Premium</x:v>
      </x:c>
      <x:c r="I5" s="14" t="str">
        <x:v>Cost Hyper</x:v>
      </x:c>
      <x:c r="J5" s="14" t="str">
        <x:v>Notes</x:v>
      </x:c>
      <x:c r="K5" s="15" t="str">
        <x:v>Editable?</x:v>
      </x:c>
    </x:row>
    <x:row r="6" ht="15" hidden="0" customHeight="1">
      <x:c r="A6" t="str">
        <x:v>Shell layup and trimming</x:v>
      </x:c>
      <x:c r="B6" t="str">
        <x:v>Fiberglass layup tech</x:v>
      </x:c>
      <x:c r="C6" s="22" t="n">
        <x:f>'Assumptions'!G7</x:f>
        <x:v>32</x:v>
      </x:c>
      <x:c r="D6" s="29" t="n">
        <x:v>5.5</x:v>
      </x:c>
      <x:c r="E6" s="29" t="n">
        <x:v>7.5</x:v>
      </x:c>
      <x:c r="F6" s="29" t="n">
        <x:v>6</x:v>
      </x:c>
      <x:c r="G6" s="17" t="n">
        <x:f>C6*D6</x:f>
        <x:v>176</x:v>
      </x:c>
      <x:c r="H6" s="17" t="n">
        <x:f>C6*E6</x:f>
        <x:v>240</x:v>
      </x:c>
      <x:c r="I6" s="17" t="n">
        <x:f>C6*F6</x:f>
        <x:v>192</x:v>
      </x:c>
      <x:c r="J6" t="str">
        <x:v>Shell production</x:v>
      </x:c>
      <x:c r="K6" t="str">
        <x:v>Yes</x:v>
      </x:c>
    </x:row>
    <x:row r="7" ht="15" hidden="0" customHeight="1">
      <x:c r="A7" t="str">
        <x:v>PU detail casting</x:v>
      </x:c>
      <x:c r="B7" t="str">
        <x:v>PU casting tech</x:v>
      </x:c>
      <x:c r="C7" s="22" t="n">
        <x:f>'Assumptions'!G8</x:f>
        <x:v>30</x:v>
      </x:c>
      <x:c r="D7" s="29" t="n">
        <x:v>1.5</x:v>
      </x:c>
      <x:c r="E7" s="29" t="n">
        <x:v>2.5</x:v>
      </x:c>
      <x:c r="F7" s="29" t="n">
        <x:v>2</x:v>
      </x:c>
      <x:c r="G7" s="17" t="n">
        <x:f>C7*D7</x:f>
        <x:v>45</x:v>
      </x:c>
      <x:c r="H7" s="17" t="n">
        <x:f>C7*E7</x:f>
        <x:v>75</x:v>
      </x:c>
      <x:c r="I7" s="17" t="n">
        <x:f>C7*F7</x:f>
        <x:v>60</x:v>
      </x:c>
      <x:c r="J7" t="str">
        <x:v>Hands/face/small parts</x:v>
      </x:c>
      <x:c r="K7" t="str">
        <x:v>Yes</x:v>
      </x:c>
    </x:row>
    <x:row r="8" ht="15" hidden="0" customHeight="1">
      <x:c r="A8" t="str">
        <x:v>Sanding and seam work</x:v>
      </x:c>
      <x:c r="B8" t="str">
        <x:v>QC / finishing</x:v>
      </x:c>
      <x:c r="C8" s="22" t="n">
        <x:f>'Assumptions'!G11</x:f>
        <x:v>28</x:v>
      </x:c>
      <x:c r="D8" s="29" t="n">
        <x:v>3.5</x:v>
      </x:c>
      <x:c r="E8" s="29" t="n">
        <x:v>5</x:v>
      </x:c>
      <x:c r="F8" s="29" t="n">
        <x:v>7</x:v>
      </x:c>
      <x:c r="G8" s="17" t="n">
        <x:f>C8*D8</x:f>
        <x:v>98</x:v>
      </x:c>
      <x:c r="H8" s="17" t="n">
        <x:f>C8*E8</x:f>
        <x:v>140</x:v>
      </x:c>
      <x:c r="I8" s="17" t="n">
        <x:f>C8*F8</x:f>
        <x:v>196</x:v>
      </x:c>
      <x:c r="J8" t="str">
        <x:v>Visible seam removal</x:v>
      </x:c>
      <x:c r="K8" t="str">
        <x:v>Yes</x:v>
      </x:c>
    </x:row>
    <x:row r="9" ht="15" hidden="0" customHeight="1">
      <x:c r="A9" t="str">
        <x:v>Skin base coat</x:v>
      </x:c>
      <x:c r="B9" t="str">
        <x:v>Skin painter / airbrush</x:v>
      </x:c>
      <x:c r="C9" s="22" t="n">
        <x:f>'Assumptions'!G9</x:f>
        <x:v>42</x:v>
      </x:c>
      <x:c r="D9" s="29" t="n">
        <x:v>3</x:v>
      </x:c>
      <x:c r="E9" s="29" t="n">
        <x:v>4.5</x:v>
      </x:c>
      <x:c r="F9" s="29" t="n">
        <x:v>6</x:v>
      </x:c>
      <x:c r="G9" s="17" t="n">
        <x:f>C9*D9</x:f>
        <x:v>126</x:v>
      </x:c>
      <x:c r="H9" s="17" t="n">
        <x:f>C9*E9</x:f>
        <x:v>189</x:v>
      </x:c>
      <x:c r="I9" s="17" t="n">
        <x:f>C9*F9</x:f>
        <x:v>252</x:v>
      </x:c>
      <x:c r="J9" t="str">
        <x:v>Base skin application</x:v>
      </x:c>
      <x:c r="K9" t="str">
        <x:v>Yes</x:v>
      </x:c>
    </x:row>
    <x:row r="10" ht="15" hidden="0" customHeight="1">
      <x:c r="A10" t="str">
        <x:v>Face and hand detail</x:v>
      </x:c>
      <x:c r="B10" t="str">
        <x:v>Skin painter / airbrush</x:v>
      </x:c>
      <x:c r="C10" s="22" t="n">
        <x:f>'Assumptions'!G9</x:f>
        <x:v>42</x:v>
      </x:c>
      <x:c r="D10" s="29" t="n">
        <x:v>4</x:v>
      </x:c>
      <x:c r="E10" s="29" t="n">
        <x:v>9</x:v>
      </x:c>
      <x:c r="F10" s="29" t="n">
        <x:v>18</x:v>
      </x:c>
      <x:c r="G10" s="17" t="n">
        <x:f>C10*D10</x:f>
        <x:v>168</x:v>
      </x:c>
      <x:c r="H10" s="17" t="n">
        <x:f>C10*E10</x:f>
        <x:v>378</x:v>
      </x:c>
      <x:c r="I10" s="17" t="n">
        <x:f>C10*F10</x:f>
        <x:v>756</x:v>
      </x:c>
      <x:c r="J10" t="str">
        <x:v>Realism driver</x:v>
      </x:c>
      <x:c r="K10" t="str">
        <x:v>Yes</x:v>
      </x:c>
    </x:row>
    <x:row r="11" ht="15" hidden="0" customHeight="1">
      <x:c r="A11" t="str">
        <x:v>Silicone skin work</x:v>
      </x:c>
      <x:c r="B11" t="str">
        <x:v>Skin painter / airbrush</x:v>
      </x:c>
      <x:c r="C11" s="22" t="n">
        <x:f>'Assumptions'!G9</x:f>
        <x:v>42</x:v>
      </x:c>
      <x:c r="D11" s="29" t="n">
        <x:v>0</x:v>
      </x:c>
      <x:c r="E11" s="29" t="n">
        <x:v>2</x:v>
      </x:c>
      <x:c r="F11" s="29" t="n">
        <x:v>14</x:v>
      </x:c>
      <x:c r="G11" s="17" t="n">
        <x:f>C11*D11</x:f>
        <x:v>0</x:v>
      </x:c>
      <x:c r="H11" s="17" t="n">
        <x:f>C11*E11</x:f>
        <x:v>84</x:v>
      </x:c>
      <x:c r="I11" s="17" t="n">
        <x:f>C11*F11</x:f>
        <x:v>588</x:v>
      </x:c>
      <x:c r="J11" t="str">
        <x:v>Hyper/Premium zones</x:v>
      </x:c>
      <x:c r="K11" t="str">
        <x:v>Yes</x:v>
      </x:c>
    </x:row>
    <x:row r="12" ht="15" hidden="0" customHeight="1">
      <x:c r="A12" t="str">
        <x:v>Hardware installation</x:v>
      </x:c>
      <x:c r="B12" t="str">
        <x:v>Assembly tech</x:v>
      </x:c>
      <x:c r="C12" s="22" t="n">
        <x:f>'Assumptions'!G10</x:f>
        <x:v>30</x:v>
      </x:c>
      <x:c r="D12" s="29" t="n">
        <x:v>2.5</x:v>
      </x:c>
      <x:c r="E12" s="29" t="n">
        <x:v>3.5</x:v>
      </x:c>
      <x:c r="F12" s="29" t="n">
        <x:v>5</x:v>
      </x:c>
      <x:c r="G12" s="17" t="n">
        <x:f>C12*D12</x:f>
        <x:v>75</x:v>
      </x:c>
      <x:c r="H12" s="17" t="n">
        <x:f>C12*E12</x:f>
        <x:v>105</x:v>
      </x:c>
      <x:c r="I12" s="17" t="n">
        <x:f>C12*F12</x:f>
        <x:v>150</x:v>
      </x:c>
      <x:c r="J12" t="str">
        <x:v>Connectors, base, magnets</x:v>
      </x:c>
      <x:c r="K12" t="str">
        <x:v>Yes</x:v>
      </x:c>
    </x:row>
    <x:row r="13" ht="15" hidden="0" customHeight="1">
      <x:c r="A13" t="str">
        <x:v>Final assembly</x:v>
      </x:c>
      <x:c r="B13" t="str">
        <x:v>Assembly tech</x:v>
      </x:c>
      <x:c r="C13" s="22" t="n">
        <x:f>'Assumptions'!G10</x:f>
        <x:v>30</x:v>
      </x:c>
      <x:c r="D13" s="29" t="n">
        <x:v>2</x:v>
      </x:c>
      <x:c r="E13" s="29" t="n">
        <x:v>3</x:v>
      </x:c>
      <x:c r="F13" s="29" t="n">
        <x:v>4.5</x:v>
      </x:c>
      <x:c r="G13" s="17" t="n">
        <x:f>C13*D13</x:f>
        <x:v>60</x:v>
      </x:c>
      <x:c r="H13" s="17" t="n">
        <x:f>C13*E13</x:f>
        <x:v>90</x:v>
      </x:c>
      <x:c r="I13" s="17" t="n">
        <x:f>C13*F13</x:f>
        <x:v>135</x:v>
      </x:c>
      <x:c r="J13" t="str">
        <x:v>Build-up and adjustment</x:v>
      </x:c>
      <x:c r="K13" t="str">
        <x:v>Yes</x:v>
      </x:c>
    </x:row>
    <x:row r="14" ht="15" hidden="0" customHeight="1">
      <x:c r="A14" t="str">
        <x:v>QC and light testing</x:v>
      </x:c>
      <x:c r="B14" t="str">
        <x:v>QC / finishing</x:v>
      </x:c>
      <x:c r="C14" s="22" t="n">
        <x:f>'Assumptions'!G11</x:f>
        <x:v>28</x:v>
      </x:c>
      <x:c r="D14" s="29" t="n">
        <x:v>1.5</x:v>
      </x:c>
      <x:c r="E14" s="29" t="n">
        <x:v>3</x:v>
      </x:c>
      <x:c r="F14" s="29" t="n">
        <x:v>5</x:v>
      </x:c>
      <x:c r="G14" s="17" t="n">
        <x:f>C14*D14</x:f>
        <x:v>42</x:v>
      </x:c>
      <x:c r="H14" s="17" t="n">
        <x:f>C14*E14</x:f>
        <x:v>84</x:v>
      </x:c>
      <x:c r="I14" s="17" t="n">
        <x:f>C14*F14</x:f>
        <x:v>140</x:v>
      </x:c>
      <x:c r="J14" t="str">
        <x:v>Warm/neutral/cool light</x:v>
      </x:c>
      <x:c r="K14" t="str">
        <x:v>Yes</x:v>
      </x:c>
    </x:row>
    <x:row r="15" ht="15" hidden="0" customHeight="1">
      <x:c r="A15" t="str">
        <x:v>Styling and fit test</x:v>
      </x:c>
      <x:c r="B15" t="str">
        <x:v>Styling / fitting</x:v>
      </x:c>
      <x:c r="C15" s="22" t="n">
        <x:f>'Assumptions'!G12</x:f>
        <x:v>35</x:v>
      </x:c>
      <x:c r="D15" s="29" t="n">
        <x:v>1</x:v>
      </x:c>
      <x:c r="E15" s="29" t="n">
        <x:v>2</x:v>
      </x:c>
      <x:c r="F15" s="29" t="n">
        <x:v>3</x:v>
      </x:c>
      <x:c r="G15" s="17" t="n">
        <x:f>C15*D15</x:f>
        <x:v>35</x:v>
      </x:c>
      <x:c r="H15" s="17" t="n">
        <x:f>C15*E15</x:f>
        <x:v>70</x:v>
      </x:c>
      <x:c r="I15" s="17" t="n">
        <x:f>C15*F15</x:f>
        <x:v>105</x:v>
      </x:c>
      <x:c r="J15" t="str">
        <x:v>Garment fit validation</x:v>
      </x:c>
      <x:c r="K15" t="str">
        <x:v>Yes</x:v>
      </x:c>
    </x:row>
    <x:row r="16" ht="15" hidden="0" customHeight="1">
      <x:c r="A16" s="25" t="str">
        <x:v>Total direct labor</x:v>
      </x:c>
      <x:c r="B16" s="25" t="str"/>
      <x:c r="C16" s="31" t="str"/>
      <x:c r="D16" s="32" t="str"/>
      <x:c r="E16" s="32" t="str"/>
      <x:c r="F16" s="32" t="str"/>
      <x:c r="G16" s="31" t="n">
        <x:f>SUM(G6:G15)</x:f>
        <x:v>825</x:v>
      </x:c>
      <x:c r="H16" s="31" t="n">
        <x:f>SUM(H6:H15)</x:f>
        <x:v>1455</x:v>
      </x:c>
      <x:c r="I16" s="31" t="n">
        <x:f>SUM(I6:I15)</x:f>
        <x:v>2574</x:v>
      </x:c>
      <x:c r="J16" s="25" t="str"/>
      <x:c r="K16" s="25" t="str"/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49" hidden="0" customWidth="1"/>
    <x:col min="3" max="3" width="49" hidden="0" customWidth="1"/>
    <x:col min="4" max="4" width="49" hidden="0" customWidth="1"/>
    <x:col min="5" max="5" width="49" hidden="0" customWidth="1"/>
    <x:col min="6" max="6" width="46" hidden="0" customWidth="1"/>
    <x:col min="7" max="7" width="49" hidden="0" customWidth="1"/>
    <x:col min="8" max="8" width="49" hidden="0" customWidth="1"/>
  </x:cols>
  <x:sheetData>
    <x:row r="1" ht="19.200000762939453" hidden="0" customHeight="1">
      <x:c r="A1" s="6" t="str">
        <x:v>Launch Development, Tooling and Funding</x:v>
      </x:c>
      <x:c r="B1" s="6" t="str">
        <x:v>Launch Development, Tooling and Funding</x:v>
      </x:c>
      <x:c r="C1" s="6" t="str">
        <x:v>Launch Development, Tooling and Funding</x:v>
      </x:c>
      <x:c r="D1" s="6" t="str">
        <x:v>Launch Development, Tooling and Funding</x:v>
      </x:c>
      <x:c r="E1" s="6" t="str">
        <x:v>Launch Development, Tooling and Funding</x:v>
      </x:c>
      <x:c r="F1" s="6" t="str">
        <x:v>Launch Development, Tooling and Funding</x:v>
      </x:c>
      <x:c r="G1" s="6" t="str">
        <x:v>Launch Development, Tooling and Funding</x:v>
      </x:c>
      <x:c r="H1" s="6" t="str">
        <x:v>Launch Development, Tooling and Funding</x:v>
      </x:c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/>
    <x:row r="3"/>
    <x:row r="4"/>
    <x:row r="5" ht="15" hidden="0" customHeight="1">
      <x:c r="A5" s="13" t="str">
        <x:v>Item</x:v>
      </x:c>
      <x:c r="B5" s="14" t="str">
        <x:v>Cost</x:v>
      </x:c>
      <x:c r="C5" s="14" t="str">
        <x:v>Useful Units</x:v>
      </x:c>
      <x:c r="D5" s="14" t="str">
        <x:v>Cost / Unit</x:v>
      </x:c>
      <x:c r="E5" s="14" t="str">
        <x:v>Timing</x:v>
      </x:c>
      <x:c r="F5" s="15" t="str">
        <x:v>Notes</x:v>
      </x:c>
    </x:row>
    <x:row r="6" ht="15" hidden="0" customHeight="1">
      <x:c r="A6" t="str">
        <x:v>Body digital sculpt + CAD split</x:v>
      </x:c>
      <x:c r="B6" s="22" t="n">
        <x:v>12000</x:v>
      </x:c>
      <x:c r="C6" s="23" t="n">
        <x:v>150</x:v>
      </x:c>
      <x:c r="D6" s="17" t="n">
        <x:f>B6/C6</x:f>
        <x:v>80</x:v>
      </x:c>
      <x:c r="E6" t="str">
        <x:v>Pre-prototype</x:v>
      </x:c>
      <x:c r="F6" t="str">
        <x:v>Base body, modular split lines</x:v>
      </x:c>
    </x:row>
    <x:row r="7" ht="15" hidden="0" customHeight="1">
      <x:c r="A7" t="str">
        <x:v>Face sculpt library - 2 heads</x:v>
      </x:c>
      <x:c r="B7" s="22" t="n">
        <x:v>7000</x:v>
      </x:c>
      <x:c r="C7" s="23" t="n">
        <x:v>150</x:v>
      </x:c>
      <x:c r="D7" s="17" t="n">
        <x:f>B7/C7</x:f>
        <x:v>46.666666666666664</x:v>
      </x:c>
      <x:c r="E7" t="str">
        <x:v>Pre-prototype</x:v>
      </x:c>
      <x:c r="F7" t="str">
        <x:v>Two original non-celebrity faces</x:v>
      </x:c>
    </x:row>
    <x:row r="8" ht="15" hidden="0" customHeight="1">
      <x:c r="A8" t="str">
        <x:v>Large-format master prints / CNC</x:v>
      </x:c>
      <x:c r="B8" s="22" t="n">
        <x:v>9500</x:v>
      </x:c>
      <x:c r="C8" s="23" t="n">
        <x:v>150</x:v>
      </x:c>
      <x:c r="D8" s="17" t="n">
        <x:f>B8/C8</x:f>
        <x:v>63.333333333333336</x:v>
      </x:c>
      <x:c r="E8" t="str">
        <x:v>Prototype</x:v>
      </x:c>
      <x:c r="F8" t="str">
        <x:v>Body, heads, hands, connector masters</x:v>
      </x:c>
    </x:row>
    <x:row r="9" ht="15" hidden="0" customHeight="1">
      <x:c r="A9" t="str">
        <x:v>Mold set - female runway</x:v>
      </x:c>
      <x:c r="B9" s="22" t="n">
        <x:v>18000</x:v>
      </x:c>
      <x:c r="C9" s="23" t="n">
        <x:v>150</x:v>
      </x:c>
      <x:c r="D9" s="17" t="n">
        <x:f>B9/C9</x:f>
        <x:v>120</x:v>
      </x:c>
      <x:c r="E9" t="str">
        <x:v>Prototype</x:v>
      </x:c>
      <x:c r="F9" t="str">
        <x:v>Torso, limbs, head, hands</x:v>
      </x:c>
    </x:row>
    <x:row r="10" ht="15" hidden="0" customHeight="1">
      <x:c r="A10" t="str">
        <x:v>Connector jigs and base tooling</x:v>
      </x:c>
      <x:c r="B10" s="22" t="n">
        <x:v>4500</x:v>
      </x:c>
      <x:c r="C10" s="23" t="n">
        <x:v>150</x:v>
      </x:c>
      <x:c r="D10" s="17" t="n">
        <x:f>B10/C10</x:f>
        <x:v>30</x:v>
      </x:c>
      <x:c r="E10" t="str">
        <x:v>Prototype</x:v>
      </x:c>
      <x:c r="F10" t="str">
        <x:v>Drilling/fit jigs and base fixture</x:v>
      </x:c>
    </x:row>
    <x:row r="11" ht="15" hidden="0" customHeight="1">
      <x:c r="A11" t="str">
        <x:v>Paint system testing</x:v>
      </x:c>
      <x:c r="B11" s="22" t="n">
        <x:v>3500</x:v>
      </x:c>
      <x:c r="C11" s="23" t="n">
        <x:v>150</x:v>
      </x:c>
      <x:c r="D11" s="17" t="n">
        <x:f>B11/C11</x:f>
        <x:v>23.333333333333332</x:v>
      </x:c>
      <x:c r="E11" t="str">
        <x:v>Prototype</x:v>
      </x:c>
      <x:c r="F11" t="str">
        <x:v>Skin tone panels, adhesion, clear coat</x:v>
      </x:c>
    </x:row>
    <x:row r="12" ht="15" hidden="0" customHeight="1">
      <x:c r="A12" t="str">
        <x:v>First article QA and rework</x:v>
      </x:c>
      <x:c r="B12" s="22" t="n">
        <x:v>4500</x:v>
      </x:c>
      <x:c r="C12" s="23" t="n">
        <x:v>150</x:v>
      </x:c>
      <x:c r="D12" s="17" t="n">
        <x:f>B12/C12</x:f>
        <x:v>30</x:v>
      </x:c>
      <x:c r="E12" t="str">
        <x:v>Pilot</x:v>
      </x:c>
      <x:c r="F12" t="str">
        <x:v>Stability, assembly cycles, light tests</x:v>
      </x:c>
    </x:row>
    <x:row r="13" ht="15" hidden="0" customHeight="1">
      <x:c r="A13" t="str">
        <x:v>Investor/catalog visuals</x:v>
      </x:c>
      <x:c r="B13" s="22" t="n">
        <x:v>5000</x:v>
      </x:c>
      <x:c r="C13" s="23" t="n">
        <x:v>150</x:v>
      </x:c>
      <x:c r="D13" s="17" t="n">
        <x:f>B13/C13</x:f>
        <x:v>33.333333333333336</x:v>
      </x:c>
      <x:c r="E13" t="str">
        <x:v>Pilot</x:v>
      </x:c>
      <x:c r="F13" t="str">
        <x:v>Photo/render/presentation package</x:v>
      </x:c>
    </x:row>
    <x:row r="14" ht="15" hidden="0" customHeight="1">
      <x:c r="A14" s="25" t="str">
        <x:v>Total development / tooling / launch package</x:v>
      </x:c>
      <x:c r="B14" s="31" t="n">
        <x:f>SUM(B6:B13)</x:f>
        <x:v>64000</x:v>
      </x:c>
      <x:c r="C14" s="33" t="n">
        <x:f>'Assumptions'!B7</x:f>
        <x:v>150</x:v>
      </x:c>
      <x:c r="D14" s="31" t="n">
        <x:f>B14/C14</x:f>
        <x:v>426.6666666666667</x:v>
      </x:c>
      <x:c r="E14" s="25" t="str"/>
      <x:c r="F14" s="25" t="str"/>
    </x:row>
    <x:row r="15"/>
    <x:row r="16" ht="15" hidden="0" customHeight="1">
      <x:c r="A16" s="9" t="str">
        <x:v>Total Pre-revenue Funding Requirement</x:v>
      </x:c>
      <x:c r="B16" s="9" t="str">
        <x:v>Total Pre-revenue Funding Requirement</x:v>
      </x:c>
      <x:c r="C16" s="9" t="str">
        <x:v>Total Pre-revenue Funding Requirement</x:v>
      </x:c>
      <x:c r="D16" s="9" t="str">
        <x:v>Total Pre-revenue Funding Requirement</x:v>
      </x:c>
      <x:c r="E16" s="9" t="str">
        <x:v>Total Pre-revenue Funding Requirement</x:v>
      </x:c>
      <x:c r="F16" s="9" t="str">
        <x:v>Total Pre-revenue Funding Requirement</x:v>
      </x:c>
    </x:row>
    <x:row r="17" ht="15" hidden="0" customHeight="1">
      <x:c r="A17" t="str">
        <x:v>Development, tooling and launch package</x:v>
      </x:c>
      <x:c r="B17" s="17" t="n">
        <x:f>B14</x:f>
        <x:v>64000</x:v>
      </x:c>
      <x:c r="C17" t="str">
        <x:v>cash</x:v>
      </x:c>
      <x:c r="D17"/>
      <x:c r="E17" t="str">
        <x:v>Pre-revenue</x:v>
      </x:c>
      <x:c r="F17" t="str">
        <x:v>Rows 6-13</x:v>
      </x:c>
    </x:row>
    <x:row r="18" ht="15" hidden="0" customHeight="1">
      <x:c r="A18" t="str">
        <x:v>Contingency</x:v>
      </x:c>
      <x:c r="B18" s="17" t="n">
        <x:f>B17*'Assumptions'!$B$24</x:f>
        <x:v>9600</x:v>
      </x:c>
      <x:c r="C18" t="str">
        <x:v>cash</x:v>
      </x:c>
      <x:c r="D18"/>
      <x:c r="E18" t="str">
        <x:v>Pre-revenue</x:v>
      </x:c>
      <x:c r="F18" t="str">
        <x:v>15% base assumption</x:v>
      </x:c>
    </x:row>
    <x:row r="19" ht="15" hidden="0" customHeight="1">
      <x:c r="A19" t="str">
        <x:v>Pilot inventory / first batch</x:v>
      </x:c>
      <x:c r="B19" s="17" t="n">
        <x:f>('Unit Economics'!B15*'Assumptions'!$B$14+'Unit Economics'!C15*'Assumptions'!$B$15+'Unit Economics'!D15*'Assumptions'!$B$16)*'Assumptions'!$B$6</x:f>
        <x:v>96903.36600632699</x:v>
      </x:c>
      <x:c r="C19" t="str">
        <x:v>cash</x:v>
      </x:c>
      <x:c r="D19"/>
      <x:c r="E19" t="str">
        <x:v>Pilot</x:v>
      </x:c>
      <x:c r="F19" t="str">
        <x:v>Weighted cash unit cost x batch size</x:v>
      </x:c>
    </x:row>
    <x:row r="20" ht="15" hidden="0" customHeight="1">
      <x:c r="A20" t="str">
        <x:v>Operating runway</x:v>
      </x:c>
      <x:c r="B20" s="17" t="n">
        <x:f>'Operating OPEX'!B12*'Assumptions'!$B$26</x:f>
        <x:v>174000</x:v>
      </x:c>
      <x:c r="C20" t="str">
        <x:v>cash</x:v>
      </x:c>
      <x:c r="D20"/>
      <x:c r="E20" t="str">
        <x:v>Pre-revenue</x:v>
      </x:c>
      <x:c r="F20" t="str">
        <x:v>Monthly fixed OPEX x runway months</x:v>
      </x:c>
    </x:row>
    <x:row r="21" ht="15" hidden="0" customHeight="1">
      <x:c r="A21" s="25" t="str">
        <x:v>Total funding envelope</x:v>
      </x:c>
      <x:c r="B21" s="31" t="n">
        <x:f>SUM(B17:B20)</x:f>
        <x:v>344503.366006327</x:v>
      </x:c>
      <x:c r="C21" s="25" t="str">
        <x:v>cash</x:v>
      </x:c>
      <x:c r="D21" s="25"/>
      <x:c r="E21" s="25" t="str"/>
      <x:c r="F21" s="25" t="str">
        <x:v>Excludes VAT recovery timing and customer-specific tax</x:v>
      </x:c>
    </x:row>
  </x:sheetData>
  <x:mergeCells>
    <x:mergeCell ref="A1:H1"/>
    <x:mergeCell ref="A16:F1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.66999816894531" hidden="0" customWidth="1"/>
    <x:col min="2" max="2" width="40.66999816894531" hidden="0" customWidth="1"/>
    <x:col min="3" max="3" width="40.66999816894531" hidden="0" customWidth="1"/>
    <x:col min="4" max="4" width="40.66999816894531" hidden="0" customWidth="1"/>
    <x:col min="5" max="5" width="40.66999816894531" hidden="0" customWidth="1"/>
    <x:col min="6" max="6" width="40.66999816894531" hidden="0" customWidth="1"/>
    <x:col min="7" max="7" width="40.66999816894531" hidden="0" customWidth="1"/>
    <x:col min="8" max="8" width="40.66999816894531" hidden="0" customWidth="1"/>
  </x:cols>
  <x:sheetData>
    <x:row r="1" ht="19.200000762939453" hidden="0" customHeight="1">
      <x:c r="A1" s="6" t="str">
        <x:v>Unit Economics by Product Version</x:v>
      </x:c>
      <x:c r="B1" s="6" t="str">
        <x:v>Unit Economics by Product Version</x:v>
      </x:c>
      <x:c r="C1" s="6" t="str">
        <x:v>Unit Economics by Product Version</x:v>
      </x:c>
      <x:c r="D1" s="6" t="str">
        <x:v>Unit Economics by Product Version</x:v>
      </x:c>
      <x:c r="E1" s="6" t="str">
        <x:v>Unit Economics by Product Version</x:v>
      </x:c>
      <x:c r="F1" s="6" t="str">
        <x:v>Unit Economics by Product Version</x:v>
      </x:c>
      <x:c r="G1" s="6" t="str">
        <x:v>Unit Economics by Product Version</x:v>
      </x:c>
      <x:c r="H1" s="6" t="str">
        <x:v>Unit Economics by Product Version</x:v>
      </x:c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/>
    <x:row r="3"/>
    <x:row r="4"/>
    <x:row r="5" ht="15" hidden="0" customHeight="1">
      <x:c r="A5" s="13" t="str">
        <x:v>Line Item</x:v>
      </x:c>
      <x:c r="B5" s="14" t="str">
        <x:v>Standard Real</x:v>
      </x:c>
      <x:c r="C5" s="14" t="str">
        <x:v>Premium Real</x:v>
      </x:c>
      <x:c r="D5" s="15" t="str">
        <x:v>Hyper Real</x:v>
      </x:c>
    </x:row>
    <x:row r="6" ht="15" hidden="0" customHeight="1">
      <x:c r="A6" t="str">
        <x:v>Direct materials</x:v>
      </x:c>
      <x:c r="B6" s="17" t="n">
        <x:f>'BOM'!H20</x:f>
        <x:v>976.8487500000001</x:v>
      </x:c>
      <x:c r="C6" s="17" t="n">
        <x:f>'BOM'!I20</x:f>
        <x:v>1479.69495</x:v>
      </x:c>
      <x:c r="D6" s="17" t="n">
        <x:f>'BOM'!J20</x:f>
        <x:v>2381.634</x:v>
      </x:c>
    </x:row>
    <x:row r="7" ht="15" hidden="0" customHeight="1">
      <x:c r="A7" t="str">
        <x:v>Direct labor</x:v>
      </x:c>
      <x:c r="B7" s="17" t="n">
        <x:f>'Labor Routing'!G16</x:f>
        <x:v>825</x:v>
      </x:c>
      <x:c r="C7" s="17" t="n">
        <x:f>'Labor Routing'!H16</x:f>
        <x:v>1455</x:v>
      </x:c>
      <x:c r="D7" s="17" t="n">
        <x:f>'Labor Routing'!I16</x:f>
        <x:v>2574</x:v>
      </x:c>
    </x:row>
    <x:row r="8" ht="15" hidden="0" customHeight="1">
      <x:c r="A8" t="str">
        <x:v>Pre-overhead direct cost</x:v>
      </x:c>
      <x:c r="B8" s="17" t="n">
        <x:f>B6+B7</x:f>
        <x:v>1801.84875</x:v>
      </x:c>
      <x:c r="C8" s="17" t="n">
        <x:f>C6+C7</x:f>
        <x:v>2934.69495</x:v>
      </x:c>
      <x:c r="D8" s="17" t="n">
        <x:f>D6+D7</x:f>
        <x:v>4955.634</x:v>
      </x:c>
    </x:row>
    <x:row r="9" ht="15" hidden="0" customHeight="1">
      <x:c r="A9" t="str">
        <x:v>Factory overhead</x:v>
      </x:c>
      <x:c r="B9" s="17" t="n">
        <x:f>B8*'Assumptions'!$B$9</x:f>
        <x:v>396.40672500000005</x:v>
      </x:c>
      <x:c r="C9" s="17" t="n">
        <x:f>C8*'Assumptions'!$B$9</x:f>
        <x:v>645.632889</x:v>
      </x:c>
      <x:c r="D9" s="17" t="n">
        <x:f>D8*'Assumptions'!$B$9</x:f>
        <x:v>1090.23948</x:v>
      </x:c>
    </x:row>
    <x:row r="10" ht="15" hidden="0" customHeight="1">
      <x:c r="A10" t="str">
        <x:v>Scrap/reject load</x:v>
      </x:c>
      <x:c r="B10" s="17" t="n">
        <x:f>(B8+B9)*'Assumptions'!$B$17</x:f>
        <x:v>109.91277375</x:v>
      </x:c>
      <x:c r="C10" s="17" t="n">
        <x:f>(C8+C9)*'Assumptions'!$B$18</x:f>
        <x:v>286.42622712</x:v>
      </x:c>
      <x:c r="D10" s="17" t="n">
        <x:f>(D8+D9)*'Assumptions'!$B$19</x:f>
        <x:v>725.5048176</x:v>
      </x:c>
    </x:row>
    <x:row r="11" ht="15" hidden="0" customHeight="1">
      <x:c r="A11" t="str">
        <x:v>Warranty/rework reserve</x:v>
      </x:c>
      <x:c r="B11" s="17" t="n">
        <x:f>(B8+B9+B10)*'Assumptions'!$B$10</x:f>
        <x:v>92.32672994999999</x:v>
      </x:c>
      <x:c r="C11" s="17" t="n">
        <x:f>(C8+C9+C10)*'Assumptions'!$B$10</x:f>
        <x:v>154.6701626448</x:v>
      </x:c>
      <x:c r="D11" s="17" t="n">
        <x:f>(D8+D9+D10)*'Assumptions'!$B$10</x:f>
        <x:v>270.855131904</x:v>
      </x:c>
    </x:row>
    <x:row r="12" ht="15" hidden="0" customHeight="1">
      <x:c r="A12" t="str">
        <x:v>Inbound freight</x:v>
      </x:c>
      <x:c r="B12" s="17" t="n">
        <x:f>'Assumptions'!$B$20</x:f>
        <x:v>250</x:v>
      </x:c>
      <x:c r="C12" s="17" t="n">
        <x:f>'Assumptions'!$B$21</x:f>
        <x:v>300</x:v>
      </x:c>
      <x:c r="D12" s="17" t="n">
        <x:f>'Assumptions'!$B$22</x:f>
        <x:v>450</x:v>
      </x:c>
    </x:row>
    <x:row r="13" ht="15" hidden="0" customHeight="1">
      <x:c r="A13" t="str">
        <x:v>Import duty / customs</x:v>
      </x:c>
      <x:c r="B13" s="17" t="n">
        <x:f>(B6+B12)*'Assumptions'!$B$23</x:f>
        <x:v>61.34243750000001</x:v>
      </x:c>
      <x:c r="C13" s="17" t="n">
        <x:f>(C6+C12)*'Assumptions'!$B$23</x:f>
        <x:v>88.98474750000001</x:v>
      </x:c>
      <x:c r="D13" s="17" t="n">
        <x:f>(D6+D12)*'Assumptions'!$B$23</x:f>
        <x:v>141.5817</x:v>
      </x:c>
    </x:row>
    <x:row r="14" ht="15" hidden="0" customHeight="1">
      <x:c r="A14" t="str">
        <x:v>Procurement / inflation buffer</x:v>
      </x:c>
      <x:c r="B14" s="17" t="n">
        <x:f>B6*'Assumptions'!$B$13</x:f>
        <x:v>58.610925</x:v>
      </x:c>
      <x:c r="C14" s="17" t="n">
        <x:f>C6*'Assumptions'!$B$13</x:f>
        <x:v>88.781697</x:v>
      </x:c>
      <x:c r="D14" s="17" t="n">
        <x:f>D6*'Assumptions'!$B$13</x:f>
        <x:v>142.89804</x:v>
      </x:c>
    </x:row>
    <x:row r="15" ht="15" hidden="0" customHeight="1">
      <x:c r="A15" s="25" t="str">
        <x:v>Cash unit cost</x:v>
      </x:c>
      <x:c r="B15" s="31" t="n">
        <x:f>SUM(B8:B14)</x:f>
        <x:v>2770.4483411999995</x:v>
      </x:c>
      <x:c r="C15" s="31" t="n">
        <x:f>SUM(C8:C14)</x:f>
        <x:v>4499.190673264799</x:v>
      </x:c>
      <x:c r="D15" s="31" t="n">
        <x:f>SUM(D8:D14)</x:f>
        <x:v>7776.713169504</x:v>
      </x:c>
    </x:row>
    <x:row r="16" ht="15" hidden="0" customHeight="1">
      <x:c r="A16" s="25" t="str">
        <x:v>Development + tooling allocation</x:v>
      </x:c>
      <x:c r="B16" s="31" t="n">
        <x:f>'Tooling CAPEX'!$B$14/'Assumptions'!$B$7</x:f>
        <x:v>426.6666666666667</x:v>
      </x:c>
      <x:c r="C16" s="31" t="n">
        <x:f>'Tooling CAPEX'!$B$14/'Assumptions'!$B$7</x:f>
        <x:v>426.6666666666667</x:v>
      </x:c>
      <x:c r="D16" s="31" t="n">
        <x:f>'Tooling CAPEX'!$B$14/'Assumptions'!$B$7</x:f>
        <x:v>426.6666666666667</x:v>
      </x:c>
    </x:row>
    <x:row r="17" ht="15" hidden="0" customHeight="1">
      <x:c r="A17" s="25" t="str">
        <x:v>Fully loaded unit cost</x:v>
      </x:c>
      <x:c r="B17" s="31" t="n">
        <x:f>B15+B16</x:f>
        <x:v>3197.115007866666</x:v>
      </x:c>
      <x:c r="C17" s="31" t="n">
        <x:f>C15+C16</x:f>
        <x:v>4925.857339931466</x:v>
      </x:c>
      <x:c r="D17" s="31" t="n">
        <x:f>D15+D16</x:f>
        <x:v>8203.379836170667</x:v>
      </x:c>
    </x:row>
    <x:row r="18" ht="15" hidden="0" customHeight="1">
      <x:c r="A18" t="str"/>
      <x:c r="B18"/>
      <x:c r="C18"/>
      <x:c r="D18"/>
    </x:row>
    <x:row r="19" ht="15" hidden="0" customHeight="1">
      <x:c r="A19" t="str">
        <x:v>Target gross margin</x:v>
      </x:c>
      <x:c r="B19" s="18" t="n">
        <x:f>'Assumptions'!$B$11</x:f>
        <x:v>0.58</x:v>
      </x:c>
      <x:c r="C19" s="18" t="n">
        <x:f>'Assumptions'!$B$11</x:f>
        <x:v>0.58</x:v>
      </x:c>
      <x:c r="D19" s="18" t="n">
        <x:f>'Assumptions'!$B$11</x:f>
        <x:v>0.58</x:v>
      </x:c>
    </x:row>
    <x:row r="20" ht="15" hidden="0" customHeight="1">
      <x:c r="A20" s="25" t="str">
        <x:v>Illustrative wholesale price ex-tax</x:v>
      </x:c>
      <x:c r="B20" s="31" t="n">
        <x:f>B17/(1-B19)</x:f>
        <x:v>7612.178590158728</x:v>
      </x:c>
      <x:c r="C20" s="31" t="n">
        <x:f>C17/(1-C19)</x:f>
        <x:v>11728.231761741585</x:v>
      </x:c>
      <x:c r="D20" s="31" t="n">
        <x:f>D17/(1-D19)</x:f>
        <x:v>19531.8567527873</x:v>
      </x:c>
    </x:row>
    <x:row r="21" ht="15" hidden="0" customHeight="1">
      <x:c r="A21" s="25" t="str">
        <x:v>Gross margin</x:v>
      </x:c>
      <x:c r="B21" s="34" t="n">
        <x:f>(B20-B17)/B20</x:f>
        <x:v>0.58</x:v>
      </x:c>
      <x:c r="C21" s="34" t="n">
        <x:f>(C20-C17)/C20</x:f>
        <x:v>0.58</x:v>
      </x:c>
      <x:c r="D21" s="34" t="n">
        <x:f>(D20-D17)/D20</x:f>
        <x:v>0.58</x:v>
      </x:c>
    </x:row>
    <x:row r="22" ht="15" hidden="0" customHeight="1">
      <x:c r="A22" t="str">
        <x:v>Channel margin</x:v>
      </x:c>
      <x:c r="B22" s="18" t="n">
        <x:f>'Assumptions'!$B$12</x:f>
        <x:v>0.25</x:v>
      </x:c>
      <x:c r="C22" s="18" t="n">
        <x:f>'Assumptions'!$B$12</x:f>
        <x:v>0.25</x:v>
      </x:c>
      <x:c r="D22" s="18" t="n">
        <x:f>'Assumptions'!$B$12</x:f>
        <x:v>0.25</x:v>
      </x:c>
    </x:row>
    <x:row r="23" ht="15" hidden="0" customHeight="1">
      <x:c r="A23" t="str">
        <x:v>Illustrative channel price ex-tax</x:v>
      </x:c>
      <x:c r="B23" s="17" t="n">
        <x:f>B20/(1-B22)</x:f>
        <x:v>10149.571453544972</x:v>
      </x:c>
      <x:c r="C23" s="17" t="n">
        <x:f>C20/(1-C22)</x:f>
        <x:v>15637.64234898878</x:v>
      </x:c>
      <x:c r="D23" s="17" t="n">
        <x:f>D20/(1-D22)</x:f>
        <x:v>26042.475670383064</x:v>
      </x:c>
    </x:row>
  </x:sheetData>
  <x:mergeCells>
    <x:mergeCell ref="A1:H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.779998779296875" hidden="0" customWidth="1"/>
    <x:col min="2" max="2" width="37.779998779296875" hidden="0" customWidth="1"/>
    <x:col min="3" max="3" width="37.779998779296875" hidden="0" customWidth="1"/>
    <x:col min="4" max="4" width="46" hidden="0" customWidth="1"/>
  </x:cols>
  <x:sheetData>
    <x:row r="1" ht="19.200000762939453" hidden="0" customHeight="1">
      <x:c r="A1" s="6" t="str">
        <x:v>Operating OPEX - Base Run Rate</x:v>
      </x:c>
      <x:c r="B1" s="6" t="str">
        <x:v>Operating OPEX - Base Run Rate</x:v>
      </x:c>
      <x:c r="C1" s="6" t="str">
        <x:v>Operating OPEX - Base Run Rate</x:v>
      </x:c>
      <x:c r="D1" s="6" t="str">
        <x:v>Operating OPEX - Base Run Rate</x:v>
      </x:c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/>
    <x:row r="3"/>
    <x:row r="4"/>
    <x:row r="5" ht="15" hidden="0" customHeight="1">
      <x:c r="A5" s="13" t="str">
        <x:v>Cost center</x:v>
      </x:c>
      <x:c r="B5" s="14" t="str">
        <x:v>Monthly</x:v>
      </x:c>
      <x:c r="C5" s="14" t="str">
        <x:v>Annual</x:v>
      </x:c>
      <x:c r="D5" s="15" t="str">
        <x:v>Planning note</x:v>
      </x:c>
    </x:row>
    <x:row r="6" ht="15" hidden="0" customHeight="1">
      <x:c r="A6" t="str">
        <x:v>Product / operations team</x:v>
      </x:c>
      <x:c r="B6" s="22" t="n">
        <x:v>9000</x:v>
      </x:c>
      <x:c r="C6" s="17" t="n">
        <x:f>B6*12</x:f>
        <x:v>108000</x:v>
      </x:c>
      <x:c r="D6" t="str">
        <x:v>Lean core team plus specialist contractors</x:v>
      </x:c>
    </x:row>
    <x:row r="7" ht="15" hidden="0" customHeight="1">
      <x:c r="A7" t="str">
        <x:v>Finish and production lead</x:v>
      </x:c>
      <x:c r="B7" s="22" t="n">
        <x:v>5000</x:v>
      </x:c>
      <x:c r="C7" s="17" t="n">
        <x:f>B7*12</x:f>
        <x:v>60000</x:v>
      </x:c>
      <x:c r="D7" t="str">
        <x:v>Owns golden sample, finish and QC</x:v>
      </x:c>
    </x:row>
    <x:row r="8" ht="15" hidden="0" customHeight="1">
      <x:c r="A8" t="str">
        <x:v>Sales and partnerships</x:v>
      </x:c>
      <x:c r="B8" s="22" t="n">
        <x:v>4000</x:v>
      </x:c>
      <x:c r="C8" s="17" t="n">
        <x:f>B8*12</x:f>
        <x:v>48000</x:v>
      </x:c>
      <x:c r="D8" t="str">
        <x:v>Brand outreach and account development</x:v>
      </x:c>
    </x:row>
    <x:row r="9" ht="15" hidden="0" customHeight="1">
      <x:c r="A9" t="str">
        <x:v>Studio, utilities and safety</x:v>
      </x:c>
      <x:c r="B9" s="22" t="n">
        <x:v>5000</x:v>
      </x:c>
      <x:c r="C9" s="17" t="n">
        <x:f>B9*12</x:f>
        <x:v>60000</x:v>
      </x:c>
      <x:c r="D9" t="str">
        <x:v>Small control studio; serial FRP remains outsourced</x:v>
      </x:c>
    </x:row>
    <x:row r="10" ht="15" hidden="0" customHeight="1">
      <x:c r="A10" t="str">
        <x:v>Travel, samples and content</x:v>
      </x:c>
      <x:c r="B10" s="22" t="n">
        <x:v>3000</x:v>
      </x:c>
      <x:c r="C10" s="17" t="n">
        <x:f>B10*12</x:f>
        <x:v>36000</x:v>
      </x:c>
      <x:c r="D10" t="str">
        <x:v>Supplier audits, installations and sales samples</x:v>
      </x:c>
    </x:row>
    <x:row r="11" ht="15" hidden="0" customHeight="1">
      <x:c r="A11" t="str">
        <x:v>Software, insurance and admin</x:v>
      </x:c>
      <x:c r="B11" s="22" t="n">
        <x:v>3000</x:v>
      </x:c>
      <x:c r="C11" s="17" t="n">
        <x:f>B11*12</x:f>
        <x:v>36000</x:v>
      </x:c>
      <x:c r="D11" t="str">
        <x:v>CAD, accounting, insurance and general admin</x:v>
      </x:c>
    </x:row>
    <x:row r="12" ht="15" hidden="0" customHeight="1">
      <x:c r="A12" s="25" t="str">
        <x:v>Total fixed OPEX</x:v>
      </x:c>
      <x:c r="B12" s="31" t="n">
        <x:f>SUM(B6:B11)</x:f>
        <x:v>29000</x:v>
      </x:c>
      <x:c r="C12" s="31" t="n">
        <x:f>SUM(C6:C11)</x:f>
        <x:v>348000</x:v>
      </x:c>
      <x:c r="D12" s="25" t="str">
        <x:v>Before variable sales commission</x:v>
      </x:c>
    </x:row>
  </x:sheetData>
  <x:mergeCells>
    <x:mergeCell ref="A1:D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.559999465942383" hidden="0" customWidth="1"/>
    <x:col min="2" max="2" width="20.559999465942383" hidden="0" customWidth="1"/>
    <x:col min="3" max="3" width="20.559999465942383" hidden="0" customWidth="1"/>
    <x:col min="4" max="4" width="20.559999465942383" hidden="0" customWidth="1"/>
    <x:col min="5" max="5" width="20.559999465942383" hidden="0" customWidth="1"/>
  </x:cols>
  <x:sheetData>
    <x:row r="1" ht="19.200000762939453" hidden="0" customHeight="1">
      <x:c r="A1" s="6" t="str">
        <x:v>Annual Base Plan</x:v>
      </x:c>
      <x:c r="B1" s="6" t="str">
        <x:v>Annual Base Plan</x:v>
      </x:c>
      <x:c r="C1" s="6" t="str">
        <x:v>Annual Base Plan</x:v>
      </x:c>
      <x:c r="D1" s="6" t="str">
        <x:v>Annual Base Plan</x:v>
      </x:c>
      <x:c r="E1" s="6" t="str">
        <x:v>Annual Base Plan</x:v>
      </x:c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/>
    <x:row r="3"/>
    <x:row r="4"/>
    <x:row r="5" ht="15" hidden="0" customHeight="1">
      <x:c r="A5" s="13" t="str">
        <x:v>Metric</x:v>
      </x:c>
      <x:c r="B5" s="14" t="str">
        <x:v>Standard Real</x:v>
      </x:c>
      <x:c r="C5" s="14" t="str">
        <x:v>Premium Real</x:v>
      </x:c>
      <x:c r="D5" s="14" t="str">
        <x:v>Hyper Real</x:v>
      </x:c>
      <x:c r="E5" s="15" t="str">
        <x:v>Total / blended</x:v>
      </x:c>
    </x:row>
    <x:row r="6" ht="15" hidden="0" customHeight="1">
      <x:c r="A6" t="str">
        <x:v>Units</x:v>
      </x:c>
      <x:c r="B6" s="19" t="n">
        <x:f>'Assumptions'!B5*'Assumptions'!B14</x:f>
        <x:v>66</x:v>
      </x:c>
      <x:c r="C6" s="19" t="n">
        <x:f>'Assumptions'!B5*'Assumptions'!B15</x:f>
        <x:v>42</x:v>
      </x:c>
      <x:c r="D6" s="19" t="n">
        <x:f>'Assumptions'!B5*'Assumptions'!B16</x:f>
        <x:v>12</x:v>
      </x:c>
      <x:c r="E6" s="19" t="n">
        <x:f>SUM(B6:D6)</x:f>
        <x:v>120</x:v>
      </x:c>
    </x:row>
    <x:row r="7" ht="15" hidden="0" customHeight="1">
      <x:c r="A7" t="str">
        <x:v>Wholesale price ex-tax</x:v>
      </x:c>
      <x:c r="B7" s="17" t="n">
        <x:f>'Unit Economics'!B20</x:f>
        <x:v>7612.178590158728</x:v>
      </x:c>
      <x:c r="C7" s="17" t="n">
        <x:f>'Unit Economics'!C20</x:f>
        <x:v>11728.231761741585</x:v>
      </x:c>
      <x:c r="D7" s="17" t="n">
        <x:f>'Unit Economics'!D20</x:f>
        <x:v>19531.8567527873</x:v>
      </x:c>
      <x:c r="E7" s="17" t="n">
        <x:f>SUM(B8:D8)/E6</x:f>
        <x:v>10244.765016475583</x:v>
      </x:c>
    </x:row>
    <x:row r="8" ht="15" hidden="0" customHeight="1">
      <x:c r="A8" t="str">
        <x:v>Revenue</x:v>
      </x:c>
      <x:c r="B8" s="17" t="n">
        <x:f>B6*B7</x:f>
        <x:v>502403.78695047606</x:v>
      </x:c>
      <x:c r="C8" s="17" t="n">
        <x:f>C6*C7</x:f>
        <x:v>492585.73399314657</x:v>
      </x:c>
      <x:c r="D8" s="17" t="n">
        <x:f>D6*D7</x:f>
        <x:v>234382.2810334476</x:v>
      </x:c>
      <x:c r="E8" s="17" t="n">
        <x:f>SUM(B8:D8)</x:f>
        <x:v>1229371.80197707</x:v>
      </x:c>
    </x:row>
    <x:row r="9" ht="15" hidden="0" customHeight="1">
      <x:c r="A9" t="str">
        <x:v>Fully loaded unit cost</x:v>
      </x:c>
      <x:c r="B9" s="17" t="n">
        <x:f>'Unit Economics'!B17</x:f>
        <x:v>3197.115007866666</x:v>
      </x:c>
      <x:c r="C9" s="17" t="n">
        <x:f>'Unit Economics'!C17</x:f>
        <x:v>4925.857339931466</x:v>
      </x:c>
      <x:c r="D9" s="17" t="n">
        <x:f>'Unit Economics'!D17</x:f>
        <x:v>8203.379836170667</x:v>
      </x:c>
      <x:c r="E9" s="17" t="n">
        <x:f>SUM(B10:D10)/E6</x:f>
        <x:v>4302.801306919746</x:v>
      </x:c>
    </x:row>
    <x:row r="10" ht="15" hidden="0" customHeight="1">
      <x:c r="A10" t="str">
        <x:v>Fully loaded COGS</x:v>
      </x:c>
      <x:c r="B10" s="17" t="n">
        <x:f>B6*B9</x:f>
        <x:v>211009.59051919996</x:v>
      </x:c>
      <x:c r="C10" s="17" t="n">
        <x:f>C6*C9</x:f>
        <x:v>206886.00827712158</x:v>
      </x:c>
      <x:c r="D10" s="17" t="n">
        <x:f>D6*D9</x:f>
        <x:v>98440.55803404801</x:v>
      </x:c>
      <x:c r="E10" s="17" t="n">
        <x:f>SUM(B10:D10)</x:f>
        <x:v>516336.15683036955</x:v>
      </x:c>
    </x:row>
    <x:row r="11" ht="15" hidden="0" customHeight="1">
      <x:c r="A11" t="str">
        <x:v>Gross profit</x:v>
      </x:c>
      <x:c r="B11" s="17" t="n">
        <x:f>B8-B10</x:f>
        <x:v>291394.1964312761</x:v>
      </x:c>
      <x:c r="C11" s="17" t="n">
        <x:f>C8-C10</x:f>
        <x:v>285699.725716025</x:v>
      </x:c>
      <x:c r="D11" s="17" t="n">
        <x:f>D8-D10</x:f>
        <x:v>135941.7229993996</x:v>
      </x:c>
      <x:c r="E11" s="17" t="n">
        <x:f>SUM(B11:D11)</x:f>
        <x:v>713035.6451467006</x:v>
      </x:c>
    </x:row>
    <x:row r="12" ht="15" hidden="0" customHeight="1">
      <x:c r="A12" t="str">
        <x:v>Gross margin</x:v>
      </x:c>
      <x:c r="B12" s="18" t="n">
        <x:f>B11/B8</x:f>
        <x:v>0.58</x:v>
      </x:c>
      <x:c r="C12" s="18" t="n">
        <x:f>C11/C8</x:f>
        <x:v>0.58</x:v>
      </x:c>
      <x:c r="D12" s="18" t="n">
        <x:f>D11/D8</x:f>
        <x:v>0.58</x:v>
      </x:c>
      <x:c r="E12" s="18" t="n">
        <x:f>E11/E8</x:f>
        <x:v>0.58</x:v>
      </x:c>
    </x:row>
    <x:row r="13" ht="15" hidden="0" customHeight="1">
      <x:c r="A13" t="str">
        <x:v>Sales commission / payment</x:v>
      </x:c>
      <x:c r="B13"/>
      <x:c r="C13"/>
      <x:c r="D13"/>
      <x:c r="E13" s="17" t="n">
        <x:f>E8*'Assumptions'!B25</x:f>
        <x:v>36881.1540593121</x:v>
      </x:c>
    </x:row>
    <x:row r="14" ht="15" hidden="0" customHeight="1">
      <x:c r="A14" t="str">
        <x:v>Fixed operating OPEX</x:v>
      </x:c>
      <x:c r="B14"/>
      <x:c r="C14"/>
      <x:c r="D14"/>
      <x:c r="E14" s="17" t="n">
        <x:f>'Operating OPEX'!C12</x:f>
        <x:v>348000</x:v>
      </x:c>
    </x:row>
    <x:row r="15" ht="15" hidden="0" customHeight="1">
      <x:c r="A15" s="25" t="str">
        <x:v>Operating profit</x:v>
      </x:c>
      <x:c r="B15" s="25"/>
      <x:c r="C15" s="25"/>
      <x:c r="D15" s="25"/>
      <x:c r="E15" s="31" t="n">
        <x:f>E11-E13-E14</x:f>
        <x:v>328154.4910873885</x:v>
      </x:c>
    </x:row>
  </x:sheetData>
  <x:mergeCells>
    <x:mergeCell ref="A1:E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19.200000762939453" hidden="0" customHeight="1">
      <x:c r="A1" s="6" t="str">
        <x:v>Downside / Base / Upside</x:v>
      </x:c>
      <x:c r="B1" s="6" t="str">
        <x:v>Downside / Base / Upside</x:v>
      </x:c>
      <x:c r="C1" s="6" t="str">
        <x:v>Downside / Base / Upside</x:v>
      </x:c>
      <x:c r="D1" s="6" t="str">
        <x:v>Downside / Base / Upside</x:v>
      </x:c>
      <x:c r="E1" s="6" t="str">
        <x:v>Downside / Base / Upside</x:v>
      </x:c>
      <x:c r="F1" s="6" t="str">
        <x:v>Downside / Base / Upside</x:v>
      </x:c>
      <x:c r="G1" s="6" t="str">
        <x:v>Downside / Base / Upside</x:v>
      </x:c>
      <x:c r="H1" s="6" t="str">
        <x:v>Downside / Base / Upside</x:v>
      </x:c>
      <x:c r="I1" s="6" t="str">
        <x:v>Downside / Base / Upside</x:v>
      </x:c>
      <x:c r="J1" s="6" t="str">
        <x:v>Downside / Base / Upside</x:v>
      </x:c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/>
    <x:row r="3"/>
    <x:row r="4"/>
    <x:row r="5" ht="15" hidden="0" customHeight="1">
      <x:c r="A5" s="13" t="str">
        <x:v>Scenario</x:v>
      </x:c>
      <x:c r="B5" s="14" t="str">
        <x:v>Units</x:v>
      </x:c>
      <x:c r="C5" s="14" t="str">
        <x:v>Target GM</x:v>
      </x:c>
      <x:c r="D5" s="14" t="str">
        <x:v>Fixed OPEX</x:v>
      </x:c>
      <x:c r="E5" s="14" t="str">
        <x:v>Weighted full cost</x:v>
      </x:c>
      <x:c r="F5" s="14" t="str">
        <x:v>Weighted price</x:v>
      </x:c>
      <x:c r="G5" s="14" t="str">
        <x:v>Revenue</x:v>
      </x:c>
      <x:c r="H5" s="14" t="str">
        <x:v>Gross profit</x:v>
      </x:c>
      <x:c r="I5" s="14" t="str">
        <x:v>Operating profit</x:v>
      </x:c>
      <x:c r="J5" s="15" t="str">
        <x:v>Operating margin</x:v>
      </x:c>
    </x:row>
    <x:row r="6" ht="15" hidden="0" customHeight="1">
      <x:c r="A6" t="str">
        <x:v>Downside</x:v>
      </x:c>
      <x:c r="B6" s="23" t="n">
        <x:v>60</x:v>
      </x:c>
      <x:c r="C6" s="21" t="n">
        <x:v>0.5</x:v>
      </x:c>
      <x:c r="D6" s="22" t="n">
        <x:v>300000</x:v>
      </x:c>
      <x:c r="E6" s="17" t="n">
        <x:f>'Unit Economics'!B17*'Assumptions'!B14+'Unit Economics'!C17*'Assumptions'!B15+'Unit Economics'!D17*'Assumptions'!B16</x:f>
        <x:v>4302.801306919747</x:v>
      </x:c>
      <x:c r="F6" s="17" t="n">
        <x:f>E6/(1-C6)</x:f>
        <x:v>8605.602613839494</x:v>
      </x:c>
      <x:c r="G6" s="17" t="n">
        <x:f>B6*F6</x:f>
        <x:v>516336.1568303696</x:v>
      </x:c>
      <x:c r="H6" s="17" t="n">
        <x:f>G6-B6*E6</x:f>
        <x:v>258168.0784151848</x:v>
      </x:c>
      <x:c r="I6" s="17" t="n">
        <x:f>H6-G6*'Assumptions'!B25-D6</x:f>
        <x:v>-57322.00628972627</x:v>
      </x:c>
      <x:c r="J6" s="18" t="n">
        <x:f>I6/G6</x:f>
        <x:v>-0.1110168357017812</x:v>
      </x:c>
    </x:row>
    <x:row r="7" ht="15" hidden="0" customHeight="1">
      <x:c r="A7" t="str">
        <x:v>Base</x:v>
      </x:c>
      <x:c r="B7" s="23" t="n">
        <x:v>120</x:v>
      </x:c>
      <x:c r="C7" s="21" t="n">
        <x:v>0.58</x:v>
      </x:c>
      <x:c r="D7" s="22" t="n">
        <x:v>348000</x:v>
      </x:c>
      <x:c r="E7" s="17" t="n">
        <x:f>'Unit Economics'!B17*'Assumptions'!B14+'Unit Economics'!C17*'Assumptions'!B15+'Unit Economics'!D17*'Assumptions'!B16</x:f>
        <x:v>4302.801306919747</x:v>
      </x:c>
      <x:c r="F7" s="17" t="n">
        <x:f>E7/(1-C7)</x:f>
        <x:v>10244.765016475587</x:v>
      </x:c>
      <x:c r="G7" s="17" t="n">
        <x:f>B7*F7</x:f>
        <x:v>1229371.8019770705</x:v>
      </x:c>
      <x:c r="H7" s="17" t="n">
        <x:f>G7-B7*E7</x:f>
        <x:v>713035.6451467009</x:v>
      </x:c>
      <x:c r="I7" s="17" t="n">
        <x:f>H7-G7*'Assumptions'!B25-D7</x:f>
        <x:v>328154.49108738883</x:v>
      </x:c>
      <x:c r="J7" s="18" t="n">
        <x:f>I7/G7</x:f>
        <x:v>0.2669285976460922</x:v>
      </x:c>
    </x:row>
    <x:row r="8" ht="15" hidden="0" customHeight="1">
      <x:c r="A8" t="str">
        <x:v>Upside</x:v>
      </x:c>
      <x:c r="B8" s="23" t="n">
        <x:v>180</x:v>
      </x:c>
      <x:c r="C8" s="21" t="n">
        <x:v>0.6</x:v>
      </x:c>
      <x:c r="D8" s="22" t="n">
        <x:v>420000</x:v>
      </x:c>
      <x:c r="E8" s="17" t="n">
        <x:f>'Unit Economics'!B17*'Assumptions'!B14+'Unit Economics'!C17*'Assumptions'!B15+'Unit Economics'!D17*'Assumptions'!B16</x:f>
        <x:v>4302.801306919747</x:v>
      </x:c>
      <x:c r="F8" s="17" t="n">
        <x:f>E8/(1-C8)</x:f>
        <x:v>10757.003267299366</x:v>
      </x:c>
      <x:c r="G8" s="17" t="n">
        <x:f>B8*F8</x:f>
        <x:v>1936260.5881138858</x:v>
      </x:c>
      <x:c r="H8" s="17" t="n">
        <x:f>G8-B8*E8</x:f>
        <x:v>1161756.3528683314</x:v>
      </x:c>
      <x:c r="I8" s="17" t="n">
        <x:f>H8-G8*'Assumptions'!B25-D8</x:f>
        <x:v>683668.5352249148</x:v>
      </x:c>
      <x:c r="J8" s="18" t="n">
        <x:f>I8/G8</x:f>
        <x:v>0.3530870480046682</x:v>
      </x:c>
    </x:row>
  </x:sheetData>
  <x:mergeCells>
    <x:mergeCell ref="A1:J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46" hidden="0" customWidth="1"/>
    <x:col min="3" max="3" width="46" hidden="0" customWidth="1"/>
    <x:col min="4" max="4" width="46" hidden="0" customWidth="1"/>
  </x:cols>
  <x:sheetData>
    <x:row r="1" ht="19.200000762939453" hidden="0" customHeight="1">
      <x:c r="A1" s="6" t="str">
        <x:v>Blended Break-even and Cash Recovery</x:v>
      </x:c>
      <x:c r="B1" s="6" t="str">
        <x:v>Blended Break-even and Cash Recovery</x:v>
      </x:c>
      <x:c r="C1" s="6" t="str">
        <x:v>Blended Break-even and Cash Recovery</x:v>
      </x:c>
      <x:c r="D1" s="6" t="str">
        <x:v>Blended Break-even and Cash Recovery</x:v>
      </x:c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/>
    <x:row r="3"/>
    <x:row r="4"/>
    <x:row r="5" ht="15" hidden="0" customHeight="1">
      <x:c r="A5" s="13" t="str">
        <x:v>Metric</x:v>
      </x:c>
      <x:c r="B5" s="15" t="str">
        <x:v>Base case</x:v>
      </x:c>
    </x:row>
    <x:row r="6" ht="15" hidden="0" customHeight="1">
      <x:c r="A6" t="str">
        <x:v>Weighted wholesale price</x:v>
      </x:c>
      <x:c r="B6" s="17" t="n">
        <x:f>'Unit Economics'!B20*'Assumptions'!B14+'Unit Economics'!C20*'Assumptions'!B15+'Unit Economics'!D20*'Assumptions'!B16</x:f>
        <x:v>10244.765016475585</x:v>
      </x:c>
    </x:row>
    <x:row r="7" ht="15" hidden="0" customHeight="1">
      <x:c r="A7" t="str">
        <x:v>Weighted cash unit cost</x:v>
      </x:c>
      <x:c r="B7" s="17" t="n">
        <x:f>'Unit Economics'!B15*'Assumptions'!B14+'Unit Economics'!C15*'Assumptions'!B15+'Unit Economics'!D15*'Assumptions'!B16</x:f>
        <x:v>3876.13464025308</x:v>
      </x:c>
    </x:row>
    <x:row r="8" ht="15" hidden="0" customHeight="1">
      <x:c r="A8" t="str">
        <x:v>Sales commission / payment</x:v>
      </x:c>
      <x:c r="B8" s="17" t="n">
        <x:f>B6*'Assumptions'!B25</x:f>
        <x:v>307.34295049426754</x:v>
      </x:c>
    </x:row>
    <x:row r="9" ht="15" hidden="0" customHeight="1">
      <x:c r="A9" t="str">
        <x:v>Net contribution / unit</x:v>
      </x:c>
      <x:c r="B9" s="17" t="n">
        <x:f>B6-B7-B8</x:f>
        <x:v>6061.287425728237</x:v>
      </x:c>
    </x:row>
    <x:row r="10" ht="15" hidden="0" customHeight="1">
      <x:c r="A10" t="str">
        <x:v>Annual fixed OPEX</x:v>
      </x:c>
      <x:c r="B10" s="17" t="n">
        <x:f>'Operating OPEX'!C12</x:f>
        <x:v>348000</x:v>
      </x:c>
    </x:row>
    <x:row r="11" ht="15" hidden="0" customHeight="1">
      <x:c r="A11" t="str">
        <x:v>Development and launch package</x:v>
      </x:c>
      <x:c r="B11" s="17" t="n">
        <x:f>'Tooling CAPEX'!B14</x:f>
        <x:v>64000</x:v>
      </x:c>
    </x:row>
    <x:row r="12" ht="15" hidden="0" customHeight="1">
      <x:c r="A12" s="25" t="str">
        <x:v>Operating break-even units</x:v>
      </x:c>
      <x:c r="B12" s="33" t="n">
        <x:f>ROUNDUP(B10/B9,0)</x:f>
        <x:v>58</x:v>
      </x:c>
    </x:row>
    <x:row r="13" ht="15" hidden="0" customHeight="1">
      <x:c r="A13" s="25" t="str">
        <x:v>Full cash-recovery units</x:v>
      </x:c>
      <x:c r="B13" s="33" t="n">
        <x:f>ROUNDUP((B10+B11)/B9,0)</x:f>
        <x:v>68</x:v>
      </x:c>
    </x:row>
    <x:row r="14" ht="15" hidden="0" customHeight="1">
      <x:c r="A14" s="25" t="str">
        <x:v>Revenue at full cash recovery</x:v>
      </x:c>
      <x:c r="B14" s="31" t="n">
        <x:f>B13*B6</x:f>
        <x:v>696644.0211203397</x:v>
      </x:c>
    </x:row>
  </x:sheetData>
  <x:mergeCells>
    <x:mergeCell ref="A1:D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.33000183105469" hidden="0" customWidth="1"/>
    <x:col min="2" max="2" width="33.33000183105469" hidden="0" customWidth="1"/>
    <x:col min="3" max="3" width="33.33000183105469" hidden="0" customWidth="1"/>
    <x:col min="4" max="4" width="33.33000183105469" hidden="0" customWidth="1"/>
    <x:col min="5" max="5" width="33.33000183105469" hidden="0" customWidth="1"/>
    <x:col min="6" max="6" width="50" hidden="0" customWidth="1"/>
    <x:col min="7" max="7" width="45" hidden="0" customWidth="1"/>
  </x:cols>
  <x:sheetData>
    <x:row r="1" ht="19.200000762939453" hidden="0" customHeight="1">
      <x:c r="A1" s="6" t="str">
        <x:v>Sources and Market Anchors</x:v>
      </x:c>
      <x:c r="B1" s="6" t="str">
        <x:v>Sources and Market Anchors</x:v>
      </x:c>
      <x:c r="C1" s="6" t="str">
        <x:v>Sources and Market Anchors</x:v>
      </x:c>
      <x:c r="D1" s="6" t="str">
        <x:v>Sources and Market Anchors</x:v>
      </x:c>
      <x:c r="E1" s="6" t="str">
        <x:v>Sources and Market Anchors</x:v>
      </x:c>
      <x:c r="F1" s="6" t="str">
        <x:v>Sources and Market Anchors</x:v>
      </x:c>
      <x:c r="G1" s="6" t="str">
        <x:v>Sources and Market Anchors</x:v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/>
    <x:row r="3" ht="15" hidden="0" customHeight="1">
      <x:c r="A3" s="13" t="str">
        <x:v>ID</x:v>
      </x:c>
      <x:c r="B3" s="14" t="str">
        <x:v>Category</x:v>
      </x:c>
      <x:c r="C3" s="14" t="str">
        <x:v>Value Used</x:v>
      </x:c>
      <x:c r="D3" s="14" t="str">
        <x:v>Unit</x:v>
      </x:c>
      <x:c r="E3" s="14" t="str">
        <x:v>Source</x:v>
      </x:c>
      <x:c r="F3" s="14" t="str">
        <x:v>URL</x:v>
      </x:c>
      <x:c r="G3" s="15" t="str">
        <x:v>Notes</x:v>
      </x:c>
    </x:row>
    <x:row r="4" ht="26.399999618530273" hidden="0" customHeight="1">
      <x:c r="A4" t="str">
        <x:v>S1</x:v>
      </x:c>
      <x:c r="B4" t="str">
        <x:v>Polyester laminating resin</x:v>
      </x:c>
      <x:c r="C4" s="24" t="n">
        <x:v>51</x:v>
      </x:c>
      <x:c r="D4" t="str">
        <x:v>$/gal</x:v>
      </x:c>
      <x:c r="E4" t="str">
        <x:v>Merton's Fiberglass &amp; Marine Supply</x:v>
      </x:c>
      <x:c r="F4" s="7" t="str">
        <x:v>https://www.mertons.com/Epoxy/polyester_Resins/index.html</x:v>
      </x:c>
      <x:c r="G4" s="7" t="str">
        <x:v>No-wax general purpose polyester resin, 1-3 gal price, effective June 4, 2026</x:v>
      </x:c>
    </x:row>
    <x:row r="5" ht="15" hidden="0" customHeight="1">
      <x:c r="A5" t="str">
        <x:v>S2</x:v>
      </x:c>
      <x:c r="B5" t="str">
        <x:v>PU casting resin</x:v>
      </x:c>
      <x:c r="C5" s="24" t="n">
        <x:v>232.75</x:v>
      </x:c>
      <x:c r="D5" t="str">
        <x:v>$/24 lb kit</x:v>
      </x:c>
      <x:c r="E5" t="str">
        <x:v>Reynolds Advanced Materials / TASK 16</x:v>
      </x:c>
      <x:c r="F5" s="7" t="str">
        <x:v>https://www.reynoldsam.com/product/task-16</x:v>
      </x:c>
      <x:c r="G5" s="7" t="str">
        <x:v>1 gallon unit net weight 24 lb</x:v>
      </x:c>
    </x:row>
    <x:row r="6" ht="26.399999618530273" hidden="0" customHeight="1">
      <x:c r="A6" t="str">
        <x:v>S3</x:v>
      </x:c>
      <x:c r="B6" t="str">
        <x:v>Platinum silicone</x:v>
      </x:c>
      <x:c r="C6" s="24" t="n">
        <x:v>244.81</x:v>
      </x:c>
      <x:c r="D6" t="str">
        <x:v>$/gal</x:v>
      </x:c>
      <x:c r="E6" t="str">
        <x:v>Michaels / Smooth-On Ecoflex 00-30</x:v>
      </x:c>
      <x:c r="F6" s="7" t="str">
        <x:v>https://www.michaels.com/product/smoothon-ecoflex-0030-gallon-435919445963325446</x:v>
      </x:c>
      <x:c r="G6" s="7" t="str">
        <x:v>Gallon retail price</x:v>
      </x:c>
    </x:row>
    <x:row r="7" ht="26.399999618530273" hidden="0" customHeight="1">
      <x:c r="A7" t="str">
        <x:v>S4</x:v>
      </x:c>
      <x:c r="B7" t="str">
        <x:v>Platinum silicone range</x:v>
      </x:c>
      <x:c r="C7" s="24" t="n">
        <x:v>841.75</x:v>
      </x:c>
      <x:c r="D7" t="str">
        <x:v>$/large kit</x:v>
      </x:c>
      <x:c r="E7" t="str">
        <x:v>The Engineer Guy / Ecoflex 00-30</x:v>
      </x:c>
      <x:c r="F7" s="7" t="str">
        <x:v>https://theengineerguy.com/moldmaking-casting/silicone-rubber/platinum-cure-silicone/</x:v>
      </x:c>
      <x:c r="G7" s="7" t="str">
        <x:v>Category page showed Ecoflex 00-30 range</x:v>
      </x:c>
    </x:row>
    <x:row r="8" ht="26.399999618530273" hidden="0" customHeight="1">
      <x:c r="A8" t="str">
        <x:v>S5</x:v>
      </x:c>
      <x:c r="B8" t="str">
        <x:v>Realistic retail mannequin</x:v>
      </x:c>
      <x:c r="C8" s="24"/>
      <x:c r="D8" t="str">
        <x:v>price unavailable</x:v>
      </x:c>
      <x:c r="E8" t="str">
        <x:v>Zing Display</x:v>
      </x:c>
      <x:c r="F8" s="7" t="str">
        <x:v>https://www.zingdisplay.com/6ft-2in-White-Realistic-Fiberglass-Male-Mannequin-p/ysfm51wtn.htm</x:v>
      </x:c>
      <x:c r="G8" s="7" t="str">
        <x:v>Current product specification; public page does not expose a price</x:v>
      </x:c>
    </x:row>
    <x:row r="9" ht="26.399999618530273" hidden="0" customHeight="1">
      <x:c r="A9" t="str">
        <x:v>S6</x:v>
      </x:c>
      <x:c r="B9" t="str">
        <x:v>Fiberglass female mannequin</x:v>
      </x:c>
      <x:c r="C9" s="24" t="n">
        <x:v>209.95</x:v>
      </x:c>
      <x:c r="D9" t="str">
        <x:v>$/unit</x:v>
      </x:c>
      <x:c r="E9" t="str">
        <x:v>Store Supply Warehouse</x:v>
      </x:c>
      <x:c r="F9" s="7" t="str">
        <x:v>https://www.storesupply.com/female-glossy-cameo-fiberglass-mannequin/</x:v>
      </x:c>
      <x:c r="G9" s="7" t="str">
        <x:v>Detachable arms/hands/torso, fiberglass</x:v>
      </x:c>
    </x:row>
    <x:row r="10" ht="39.599998474121094" hidden="0" customHeight="1">
      <x:c r="A10" t="str">
        <x:v>S7</x:v>
      </x:c>
      <x:c r="B10" t="str">
        <x:v>Luxury female mannequin</x:v>
      </x:c>
      <x:c r="C10" s="24" t="n">
        <x:v>770</x:v>
      </x:c>
      <x:c r="D10" t="str">
        <x:v>$/unit</x:v>
      </x:c>
      <x:c r="E10" t="str">
        <x:v>JELIMATE</x:v>
      </x:c>
      <x:c r="F10" s="7" t="str">
        <x:v>https://www.jelimate.com/products/jelimate-luxury-female-full-body-mannequins-stand-matte-white-realistic-fiberglass-dress-form-display-manikin-torso-stand-for-retail-clothing-with-base-1pcs-dl0168</x:v>
      </x:c>
      <x:c r="G10" s="7" t="str">
        <x:v>Premium fiberglass full-body mannequin</x:v>
      </x:c>
    </x:row>
    <x:row r="11" ht="26.399999618530273" hidden="0" customHeight="1">
      <x:c r="A11" t="str">
        <x:v>S8</x:v>
      </x:c>
      <x:c r="B11" t="str">
        <x:v>Custom mannequin range</x:v>
      </x:c>
      <x:c r="C11" s="24" t="n">
        <x:v>1200</x:v>
      </x:c>
      <x:c r="D11" t="str">
        <x:v>$ low</x:v>
      </x:c>
      <x:c r="E11" t="str">
        <x:v>AW Display supplier guide</x:v>
      </x:c>
      <x:c r="F11" s="7" t="str">
        <x:v>https://www.aw-display.com/article/how-to-choose-a-mannequin-supplier-a-complete-guide-for-retailers-and-brands.html</x:v>
      </x:c>
      <x:c r="G11" s="7" t="str">
        <x:v>Custom-sculpted mannequin small-order range $1,200-$3,000+</x:v>
      </x:c>
    </x:row>
    <x:row r="12" ht="26.399999618530273" hidden="0" customHeight="1">
      <x:c r="A12" t="str">
        <x:v>S9</x:v>
      </x:c>
      <x:c r="B12" t="str">
        <x:v>Realistic mannequin market</x:v>
      </x:c>
      <x:c r="C12" s="24" t="n">
        <x:v>180</x:v>
      </x:c>
      <x:c r="D12" t="str">
        <x:v>$/unit</x:v>
      </x:c>
      <x:c r="E12" t="str">
        <x:v>Barr Display</x:v>
      </x:c>
      <x:c r="F12" s="7" t="str">
        <x:v>https://www.barrdisplay.com/mannequins-display-forms/retail-display-mannequins/premium-fiberglass-adult-mannequins.html</x:v>
      </x:c>
      <x:c r="G12" s="7" t="str">
        <x:v>Basic realistic fiberglass mannequins around $180-$225</x:v>
      </x:c>
    </x:row>
    <x:row r="13" ht="26.399999618530273" hidden="0" customHeight="1">
      <x:c r="A13" t="str">
        <x:v>S10</x:v>
      </x:c>
      <x:c r="B13" t="str">
        <x:v>Fiberglass durability</x:v>
      </x:c>
      <x:c r="C13" s="24" t="n">
        <x:v>10</x:v>
      </x:c>
      <x:c r="D13" t="str">
        <x:v>years</x:v>
      </x:c>
      <x:c r="E13" t="str">
        <x:v>Houston Store Fixtures guide</x:v>
      </x:c>
      <x:c r="F13" s="7" t="str">
        <x:v>https://www.houstonfixtures.com/guides/mannequins</x:v>
      </x:c>
      <x:c r="G13" s="7" t="str">
        <x:v>Fiberglass described as premium, durable, repairable; typical 10-15 year life</x:v>
      </x:c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.66999816894531" hidden="0" customWidth="1"/>
    <x:col min="2" max="2" width="16.440000534057617" hidden="0" customWidth="1"/>
    <x:col min="3" max="3" width="16.440000534057617" hidden="0" customWidth="1"/>
    <x:col min="4" max="4" width="16.440000534057617" hidden="0" customWidth="1"/>
    <x:col min="5" max="5" width="16.440000534057617" hidden="0" customWidth="1"/>
    <x:col min="6" max="6" width="16.440000534057617" hidden="0" customWidth="1"/>
    <x:col min="7" max="7" width="16.440000534057617" hidden="0" customWidth="1"/>
  </x:cols>
  <x:sheetData>
    <x:row r="1" ht="19.200000762939453" hidden="0" customHeight="1">
      <x:c r="A1" s="6" t="str">
        <x:v>Model Checks</x:v>
      </x:c>
      <x:c r="B1" s="6" t="str">
        <x:v>Model Checks</x:v>
      </x:c>
      <x:c r="C1" s="6" t="str">
        <x:v>Model Checks</x:v>
      </x:c>
      <x:c r="D1" s="6" t="str">
        <x:v>Model Checks</x:v>
      </x:c>
      <x:c r="E1" s="6" t="str">
        <x:v>Model Checks</x:v>
      </x:c>
      <x:c r="F1" s="6" t="str">
        <x:v>Model Checks</x:v>
      </x:c>
      <x:c r="G1" s="6" t="str">
        <x:v>Model Checks</x:v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" hidden="0" customHeight="1">
      <x:c r="F2" s="25" t="str">
        <x:f>IF(COUNTIF(F4:F13,"CHECK")=0,"OK","CHECK")</x:f>
        <x:v>OK</x:v>
      </x:c>
    </x:row>
    <x:row r="3" ht="15" hidden="0" customHeight="1">
      <x:c r="A3" s="13" t="str">
        <x:v>Check</x:v>
      </x:c>
      <x:c r="B3" s="14" t="str">
        <x:v>Actual</x:v>
      </x:c>
      <x:c r="C3" s="14" t="str">
        <x:v>Expected</x:v>
      </x:c>
      <x:c r="D3" s="14" t="str">
        <x:v>Difference</x:v>
      </x:c>
      <x:c r="E3" s="14" t="str">
        <x:v>Tolerance</x:v>
      </x:c>
      <x:c r="F3" s="15" t="str">
        <x:v>Status</x:v>
      </x:c>
    </x:row>
    <x:row r="4" ht="15" hidden="0" customHeight="1">
      <x:c r="A4" t="str">
        <x:v>Production mix sums to 100%</x:v>
      </x:c>
      <x:c r="B4" s="27" t="n">
        <x:f>SUM('Assumptions'!B14:B16)</x:f>
        <x:v>1</x:v>
      </x:c>
      <x:c r="C4" s="27" t="n">
        <x:v>1</x:v>
      </x:c>
      <x:c r="D4" s="27" t="n">
        <x:f>B4-C4</x:f>
        <x:v>0</x:v>
      </x:c>
      <x:c r="E4" s="27" t="n">
        <x:v>0.001</x:v>
      </x:c>
      <x:c r="F4" s="25" t="str">
        <x:f>IF(ABS(D4)&lt;=E4,"OK","CHECK")</x:f>
        <x:v>OK</x:v>
      </x:c>
    </x:row>
    <x:row r="5" ht="15" hidden="0" customHeight="1">
      <x:c r="A5" t="str">
        <x:v>Annual units tie to assumption</x:v>
      </x:c>
      <x:c r="B5" s="27" t="n">
        <x:f>'Annual Plan'!E6</x:f>
        <x:v>120</x:v>
      </x:c>
      <x:c r="C5" s="27" t="n">
        <x:f>'Assumptions'!B5</x:f>
        <x:v>120</x:v>
      </x:c>
      <x:c r="D5" s="27" t="n">
        <x:f>B5-C5</x:f>
        <x:v>0</x:v>
      </x:c>
      <x:c r="E5" s="27" t="n">
        <x:v>0.001</x:v>
      </x:c>
      <x:c r="F5" s="25" t="str">
        <x:f>IF(ABS(D5)&lt;=E5,"OK","CHECK")</x:f>
        <x:v>OK</x:v>
      </x:c>
    </x:row>
    <x:row r="6" ht="15" hidden="0" customHeight="1">
      <x:c r="A6" t="str">
        <x:v>Unit cost positive - Standard</x:v>
      </x:c>
      <x:c r="B6" s="27" t="n">
        <x:f>IF('Unit Economics'!B17&gt;0,1,0)</x:f>
        <x:v>1</x:v>
      </x:c>
      <x:c r="C6" s="27" t="n">
        <x:v>1</x:v>
      </x:c>
      <x:c r="D6" s="27" t="n">
        <x:f>B6-C6</x:f>
        <x:v>0</x:v>
      </x:c>
      <x:c r="E6" s="27" t="n">
        <x:v>0</x:v>
      </x:c>
      <x:c r="F6" s="25" t="str">
        <x:f>IF(ABS(D6)&lt;=E6,"OK","CHECK")</x:f>
        <x:v>OK</x:v>
      </x:c>
    </x:row>
    <x:row r="7" ht="15" hidden="0" customHeight="1">
      <x:c r="A7" t="str">
        <x:v>Unit cost positive - Premium</x:v>
      </x:c>
      <x:c r="B7" s="27" t="n">
        <x:f>IF('Unit Economics'!C17&gt;0,1,0)</x:f>
        <x:v>1</x:v>
      </x:c>
      <x:c r="C7" s="27" t="n">
        <x:v>1</x:v>
      </x:c>
      <x:c r="D7" s="27" t="n">
        <x:f>B7-C7</x:f>
        <x:v>0</x:v>
      </x:c>
      <x:c r="E7" s="27" t="n">
        <x:v>0</x:v>
      </x:c>
      <x:c r="F7" s="25" t="str">
        <x:f>IF(ABS(D7)&lt;=E7,"OK","CHECK")</x:f>
        <x:v>OK</x:v>
      </x:c>
    </x:row>
    <x:row r="8" ht="15" hidden="0" customHeight="1">
      <x:c r="A8" t="str">
        <x:v>Unit cost positive - Hyper</x:v>
      </x:c>
      <x:c r="B8" s="27" t="n">
        <x:f>IF('Unit Economics'!D17&gt;0,1,0)</x:f>
        <x:v>1</x:v>
      </x:c>
      <x:c r="C8" s="27" t="n">
        <x:v>1</x:v>
      </x:c>
      <x:c r="D8" s="27" t="n">
        <x:f>B8-C8</x:f>
        <x:v>0</x:v>
      </x:c>
      <x:c r="E8" s="27" t="n">
        <x:v>0</x:v>
      </x:c>
      <x:c r="F8" s="25" t="str">
        <x:f>IF(ABS(D8)&lt;=E8,"OK","CHECK")</x:f>
        <x:v>OK</x:v>
      </x:c>
    </x:row>
    <x:row r="9" ht="15" hidden="0" customHeight="1">
      <x:c r="A9" t="str">
        <x:v>Gross margin equals target</x:v>
      </x:c>
      <x:c r="B9" s="27" t="n">
        <x:f>'Unit Economics'!B21</x:f>
        <x:v>0.58</x:v>
      </x:c>
      <x:c r="C9" s="27" t="n">
        <x:f>'Assumptions'!B11</x:f>
        <x:v>0.58</x:v>
      </x:c>
      <x:c r="D9" s="27" t="n">
        <x:f>B9-C9</x:f>
        <x:v>0</x:v>
      </x:c>
      <x:c r="E9" s="27" t="n">
        <x:v>0.001</x:v>
      </x:c>
      <x:c r="F9" s="25" t="str">
        <x:f>IF(ABS(D9)&lt;=E9,"OK","CHECK")</x:f>
        <x:v>OK</x:v>
      </x:c>
    </x:row>
    <x:row r="10" ht="15" hidden="0" customHeight="1">
      <x:c r="A10" t="str">
        <x:v>Funding envelope exceeds development package</x:v>
      </x:c>
      <x:c r="B10" s="27" t="n">
        <x:f>IF('Tooling CAPEX'!B21&gt;'Tooling CAPEX'!B14,1,0)</x:f>
        <x:v>1</x:v>
      </x:c>
      <x:c r="C10" s="27" t="n">
        <x:v>1</x:v>
      </x:c>
      <x:c r="D10" s="27" t="n">
        <x:f>B10-C10</x:f>
        <x:v>0</x:v>
      </x:c>
      <x:c r="E10" s="27" t="n">
        <x:v>0</x:v>
      </x:c>
      <x:c r="F10" s="25" t="str">
        <x:f>IF(ABS(D10)&lt;=E10,"OK","CHECK")</x:f>
        <x:v>OK</x:v>
      </x:c>
    </x:row>
    <x:row r="11" ht="15" hidden="0" customHeight="1">
      <x:c r="A11" t="str">
        <x:v>Hyper scrap rate &gt;= Premium</x:v>
      </x:c>
      <x:c r="B11" s="27" t="n">
        <x:f>IF('Assumptions'!B19&gt;='Assumptions'!B18,1,0)</x:f>
        <x:v>1</x:v>
      </x:c>
      <x:c r="C11" s="27" t="n">
        <x:v>1</x:v>
      </x:c>
      <x:c r="D11" s="27" t="n">
        <x:f>B11-C11</x:f>
        <x:v>0</x:v>
      </x:c>
      <x:c r="E11" s="27" t="n">
        <x:v>0</x:v>
      </x:c>
      <x:c r="F11" s="25" t="str">
        <x:f>IF(ABS(D11)&lt;=E11,"OK","CHECK")</x:f>
        <x:v>OK</x:v>
      </x:c>
    </x:row>
    <x:row r="12" ht="15" hidden="0" customHeight="1">
      <x:c r="A12" t="str">
        <x:v>Annual revenue positive</x:v>
      </x:c>
      <x:c r="B12" s="27" t="n">
        <x:f>IF('Annual Plan'!E8&gt;0,1,0)</x:f>
        <x:v>1</x:v>
      </x:c>
      <x:c r="C12" s="27" t="n">
        <x:v>1</x:v>
      </x:c>
      <x:c r="D12" s="27" t="n">
        <x:f>B12-C12</x:f>
        <x:v>0</x:v>
      </x:c>
      <x:c r="E12" s="27" t="n">
        <x:v>0</x:v>
      </x:c>
      <x:c r="F12" s="25" t="str">
        <x:f>IF(ABS(D12)&lt;=E12,"OK","CHECK")</x:f>
        <x:v>OK</x:v>
      </x:c>
    </x:row>
    <x:row r="13" ht="15" hidden="0" customHeight="1">
      <x:c r="A13" t="str">
        <x:v>Base scenario operating profit ties</x:v>
      </x:c>
      <x:c r="B13" s="27" t="n">
        <x:f>'Scenarios'!I7</x:f>
        <x:v>328154.49108738883</x:v>
      </x:c>
      <x:c r="C13" s="27" t="n">
        <x:f>'Annual Plan'!E15</x:f>
        <x:v>328154.4910873885</x:v>
      </x:c>
      <x:c r="D13" s="27" t="n">
        <x:f>B13-C13</x:f>
        <x:v>3.4924596548080444e-10</x:v>
      </x:c>
      <x:c r="E13" s="27" t="n">
        <x:v>1</x:v>
      </x:c>
      <x:c r="F13" s="25" t="str">
        <x:f>IF(ABS(D13)&lt;=E13,"OK","CHECK")</x:f>
        <x:v>OK</x:v>
      </x:c>
    </x:row>
  </x:sheetData>
  <x:mergeCells>
    <x:mergeCell ref="A1:G1"/>
  </x:mergeCells>
  <x:pageMargins left="0.7" right="0.7" top="0.75" bottom="0.75" header="0.3" footer="0.3"/>
</x:worksheet>
</file>